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5.xml" ContentType="application/vnd.openxmlformats-officedocument.drawing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m-brh-hv-1.aristo.ru\share\Отдел KDA\Общие\Общая информация\3.Управленческий учёт\3.5.Экономика\PRICE\Прайс листы 2023\1_Актуальные цены\Прайсы от 22.08\СДА\"/>
    </mc:Choice>
  </mc:AlternateContent>
  <xr:revisionPtr revIDLastSave="0" documentId="13_ncr:1_{9A94E131-D843-466A-A798-8D99932EE137}" xr6:coauthVersionLast="36" xr6:coauthVersionMax="47" xr10:uidLastSave="{00000000-0000-0000-0000-000000000000}"/>
  <workbookProtection workbookAlgorithmName="SHA-512" workbookHashValue="AUshm88lbk6bE0YenpAX72bEnOJ+31xUaU9jceISF/iEr5deh033whPjWBSgQf+YlXXtNcroiQfQ71nW5qfmlw==" workbookSaltValue="ZpjE1KzmNEy5aCg8CJ5mtQ==" workbookSpinCount="100000" lockStructure="1"/>
  <bookViews>
    <workbookView xWindow="0" yWindow="0" windowWidth="19200" windowHeight="7620" tabRatio="806" xr2:uid="{00000000-000D-0000-FFFF-FFFF00000000}"/>
  </bookViews>
  <sheets>
    <sheet name="Фасады EDGE" sheetId="198" r:id="rId1"/>
    <sheet name="Фасады EDGE MAX" sheetId="210" r:id="rId2"/>
    <sheet name="AL_полки" sheetId="193" r:id="rId3"/>
    <sheet name="Вешало " sheetId="201" r:id="rId4"/>
    <sheet name="Расчет полки" sheetId="194" state="hidden" r:id="rId5"/>
    <sheet name="Расчет вешало" sheetId="202" state="hidden" r:id="rId6"/>
    <sheet name="Расчет фасадов" sheetId="199" state="hidden" r:id="rId7"/>
    <sheet name="Расчет фасадов MAX" sheetId="209" state="hidden" r:id="rId8"/>
    <sheet name="ERP_фасады EDGE" sheetId="207" state="hidden" r:id="rId9"/>
    <sheet name="ERP_фасады EDGE max" sheetId="211" state="hidden" r:id="rId10"/>
    <sheet name="ERP_полки" sheetId="208" state="hidden" r:id="rId11"/>
    <sheet name="БД" sheetId="203" state="hidden" r:id="rId12"/>
    <sheet name="Конструктив и технологии" sheetId="197" r:id="rId13"/>
    <sheet name="xml" sheetId="200" r:id="rId14"/>
    <sheet name="Ред" sheetId="196" state="hidden" r:id="rId15"/>
    <sheet name="Changelog" sheetId="204" state="hidden" r:id="rId16"/>
  </sheets>
  <definedNames>
    <definedName name="Z_7A643FA6_57C1_47C4_B954_C47712E49907_.wvu.Cols" localSheetId="0" hidden="1">'Фасады EDGE'!$AA:$AA</definedName>
    <definedName name="Z_7A643FA6_57C1_47C4_B954_C47712E49907_.wvu.Cols" localSheetId="1" hidden="1">'Фасады EDGE MAX'!$AA:$AA</definedName>
    <definedName name="Z_7A643FA6_57C1_47C4_B954_C47712E49907_.wvu.PrintArea" localSheetId="0" hidden="1">'Фасады EDGE'!$A$1:$Q$60</definedName>
    <definedName name="Z_7A643FA6_57C1_47C4_B954_C47712E49907_.wvu.PrintArea" localSheetId="1" hidden="1">'Фасады EDGE MAX'!$A$1:$Q$58</definedName>
    <definedName name="Z_7A643FA6_57C1_47C4_B954_C47712E49907_.wvu.Rows" localSheetId="0" hidden="1">'Фасады EDGE'!#REF!,'Фасады EDGE'!$63:$213</definedName>
    <definedName name="Z_7A643FA6_57C1_47C4_B954_C47712E49907_.wvu.Rows" localSheetId="1" hidden="1">'Фасады EDGE MAX'!#REF!,'Фасады EDGE MAX'!$63:$213</definedName>
    <definedName name="вставка" localSheetId="0">'Фасады EDGE'!$AL$1:$AL$21</definedName>
    <definedName name="вставкаопт">ВставкиОпт[вставка]</definedName>
    <definedName name="высота" localSheetId="0">'Фасады EDGE'!$A$24</definedName>
    <definedName name="высота" localSheetId="1">'Фасады EDGE MAX'!$A$24</definedName>
    <definedName name="_xlnm.Print_Area" localSheetId="2">AL_полки!$A$1:$N$63</definedName>
    <definedName name="_xlnm.Print_Area" localSheetId="10">ERP_полки!$A$1:$J$21</definedName>
    <definedName name="_xlnm.Print_Area" localSheetId="8">'ERP_фасады EDGE'!$A$1:$J$162</definedName>
    <definedName name="_xlnm.Print_Area" localSheetId="9">'ERP_фасады EDGE max'!$A$1:$J$162</definedName>
    <definedName name="_xlnm.Print_Area" localSheetId="3">'Вешало '!$A$1:$P$36</definedName>
    <definedName name="_xlnm.Print_Area" localSheetId="4">'Расчет полки'!$A$1:$J$31</definedName>
    <definedName name="_xlnm.Print_Area" localSheetId="0">'Фасады EDGE'!$A$1:$Z$56</definedName>
    <definedName name="_xlnm.Print_Area" localSheetId="1">'Фасады EDGE MAX'!$A$1:$Z$56</definedName>
    <definedName name="петли">БД!$B$10:$B$11</definedName>
    <definedName name="стороны">БД!$B$2:$B$6</definedName>
    <definedName name="ширина" localSheetId="0">'Фасады EDGE'!$AH$225</definedName>
    <definedName name="ширина" localSheetId="1">'Фасады EDGE MAX'!$AH$225</definedName>
  </definedNames>
  <calcPr calcId="191029"/>
</workbook>
</file>

<file path=xl/calcChain.xml><?xml version="1.0" encoding="utf-8"?>
<calcChain xmlns="http://schemas.openxmlformats.org/spreadsheetml/2006/main">
  <c r="Q15" i="194" l="1"/>
  <c r="Q16" i="194"/>
  <c r="Q17" i="194"/>
  <c r="G76" i="200"/>
  <c r="G78" i="200"/>
  <c r="G79" i="200"/>
  <c r="B77" i="200"/>
  <c r="B78" i="200"/>
  <c r="B79" i="200"/>
  <c r="R33" i="193" l="1"/>
  <c r="D32" i="193" l="1"/>
  <c r="R32" i="193" l="1"/>
  <c r="B75" i="200"/>
  <c r="K1" i="193"/>
  <c r="N2" i="201" l="1"/>
  <c r="L2" i="193"/>
  <c r="L18" i="201"/>
  <c r="I68" i="200" l="1"/>
  <c r="I67" i="200"/>
  <c r="I66" i="200"/>
  <c r="G66" i="200"/>
  <c r="E66" i="200"/>
  <c r="D66" i="200"/>
  <c r="I65" i="200"/>
  <c r="I64" i="200"/>
  <c r="I63" i="200"/>
  <c r="G63" i="200"/>
  <c r="E63" i="200"/>
  <c r="D63" i="200"/>
  <c r="I62" i="200"/>
  <c r="I61" i="200"/>
  <c r="I60" i="200"/>
  <c r="G60" i="200"/>
  <c r="E60" i="200"/>
  <c r="D60" i="200"/>
  <c r="I59" i="200"/>
  <c r="I58" i="200"/>
  <c r="I57" i="200"/>
  <c r="G57" i="200"/>
  <c r="E57" i="200"/>
  <c r="D57" i="200"/>
  <c r="I56" i="200"/>
  <c r="I55" i="200"/>
  <c r="I54" i="200"/>
  <c r="G54" i="200"/>
  <c r="E54" i="200"/>
  <c r="D54" i="200"/>
  <c r="I53" i="200"/>
  <c r="I52" i="200"/>
  <c r="I51" i="200"/>
  <c r="G51" i="200"/>
  <c r="E51" i="200"/>
  <c r="D51" i="200"/>
  <c r="I50" i="200"/>
  <c r="I49" i="200"/>
  <c r="I48" i="200"/>
  <c r="G48" i="200"/>
  <c r="E48" i="200"/>
  <c r="D48" i="200"/>
  <c r="I47" i="200"/>
  <c r="I46" i="200"/>
  <c r="I45" i="200"/>
  <c r="G45" i="200"/>
  <c r="E45" i="200"/>
  <c r="D45" i="200"/>
  <c r="I44" i="200"/>
  <c r="I43" i="200"/>
  <c r="I42" i="200"/>
  <c r="G42" i="200"/>
  <c r="E42" i="200"/>
  <c r="D42" i="200"/>
  <c r="I41" i="200"/>
  <c r="I40" i="200"/>
  <c r="I39" i="200"/>
  <c r="G39" i="200"/>
  <c r="E39" i="200"/>
  <c r="D39" i="200"/>
  <c r="E71" i="196" l="1"/>
  <c r="I71" i="196"/>
  <c r="H27" i="203"/>
  <c r="W2" i="198" l="1"/>
  <c r="Y4" i="198" s="1"/>
  <c r="Z2" i="198" l="1"/>
  <c r="Y3" i="198"/>
  <c r="W2" i="210"/>
  <c r="Z2" i="210" s="1"/>
  <c r="M12" i="209" l="1"/>
  <c r="N12" i="209" s="1"/>
  <c r="M11" i="209"/>
  <c r="N11" i="209" s="1"/>
  <c r="M10" i="209"/>
  <c r="N10" i="209" s="1"/>
  <c r="M9" i="209"/>
  <c r="N9" i="209" s="1"/>
  <c r="M8" i="209"/>
  <c r="N8" i="209" s="1"/>
  <c r="M7" i="209"/>
  <c r="N7" i="209" s="1"/>
  <c r="M6" i="209"/>
  <c r="N6" i="209" s="1"/>
  <c r="M5" i="209"/>
  <c r="N5" i="209" s="1"/>
  <c r="M4" i="209"/>
  <c r="N4" i="209" s="1"/>
  <c r="M3" i="209"/>
  <c r="N3" i="209" s="1"/>
  <c r="Y3" i="210" l="1"/>
  <c r="Y4" i="210"/>
  <c r="I59" i="196" l="1"/>
  <c r="E59" i="196" s="1"/>
  <c r="I58" i="196"/>
  <c r="E58" i="196" s="1"/>
  <c r="I57" i="196"/>
  <c r="E57" i="196" s="1"/>
  <c r="I56" i="196"/>
  <c r="E56" i="196" s="1"/>
  <c r="AA11" i="210" l="1"/>
  <c r="AB11" i="210"/>
  <c r="AA14" i="210"/>
  <c r="AB14" i="210"/>
  <c r="AA17" i="210"/>
  <c r="AB17" i="210"/>
  <c r="AA20" i="210"/>
  <c r="AB20" i="210"/>
  <c r="AA23" i="210"/>
  <c r="AB23" i="210"/>
  <c r="AA26" i="210"/>
  <c r="AB26" i="210"/>
  <c r="AA29" i="210"/>
  <c r="AB29" i="210"/>
  <c r="AA32" i="210"/>
  <c r="AB32" i="210"/>
  <c r="AA35" i="210"/>
  <c r="AB35" i="210"/>
  <c r="AB8" i="210"/>
  <c r="AA8" i="210"/>
  <c r="K162" i="211" l="1"/>
  <c r="I162" i="211"/>
  <c r="G162" i="211"/>
  <c r="K161" i="211"/>
  <c r="I161" i="211"/>
  <c r="G161" i="211"/>
  <c r="K160" i="211"/>
  <c r="I160" i="211"/>
  <c r="G160" i="211"/>
  <c r="K159" i="211"/>
  <c r="J159" i="211"/>
  <c r="I159" i="211"/>
  <c r="H159" i="211"/>
  <c r="G159" i="211"/>
  <c r="F159" i="211"/>
  <c r="D159" i="211"/>
  <c r="K158" i="211"/>
  <c r="I158" i="211"/>
  <c r="G158" i="211"/>
  <c r="F158" i="211"/>
  <c r="D158" i="211"/>
  <c r="K157" i="211"/>
  <c r="I157" i="211"/>
  <c r="G157" i="211"/>
  <c r="F157" i="211"/>
  <c r="D157" i="211"/>
  <c r="K156" i="211"/>
  <c r="I156" i="211"/>
  <c r="G156" i="211"/>
  <c r="F156" i="211"/>
  <c r="D156" i="211"/>
  <c r="K155" i="211"/>
  <c r="I155" i="211"/>
  <c r="G155" i="211"/>
  <c r="F155" i="211"/>
  <c r="D155" i="211"/>
  <c r="K154" i="211"/>
  <c r="I154" i="211"/>
  <c r="G154" i="211"/>
  <c r="F154" i="211"/>
  <c r="D154" i="211"/>
  <c r="K153" i="211"/>
  <c r="I153" i="211"/>
  <c r="G153" i="211"/>
  <c r="F153" i="211"/>
  <c r="D153" i="211"/>
  <c r="K152" i="211"/>
  <c r="G152" i="211"/>
  <c r="K151" i="211"/>
  <c r="I151" i="211"/>
  <c r="K150" i="211"/>
  <c r="I150" i="211"/>
  <c r="K149" i="211"/>
  <c r="I149" i="211"/>
  <c r="AJ148" i="211"/>
  <c r="AD148" i="211"/>
  <c r="AC148" i="211"/>
  <c r="AA148" i="211"/>
  <c r="K148" i="211"/>
  <c r="I148" i="211"/>
  <c r="K146" i="211"/>
  <c r="I146" i="211"/>
  <c r="G146" i="211"/>
  <c r="K145" i="211"/>
  <c r="I145" i="211"/>
  <c r="G145" i="211"/>
  <c r="K144" i="211"/>
  <c r="I144" i="211"/>
  <c r="G144" i="211"/>
  <c r="K143" i="211"/>
  <c r="J143" i="211"/>
  <c r="I143" i="211"/>
  <c r="H143" i="211"/>
  <c r="G143" i="211"/>
  <c r="F143" i="211"/>
  <c r="D143" i="211"/>
  <c r="K142" i="211"/>
  <c r="I142" i="211"/>
  <c r="G142" i="211"/>
  <c r="F142" i="211"/>
  <c r="D142" i="211"/>
  <c r="K141" i="211"/>
  <c r="I141" i="211"/>
  <c r="G141" i="211"/>
  <c r="F141" i="211"/>
  <c r="D141" i="211"/>
  <c r="K140" i="211"/>
  <c r="I140" i="211"/>
  <c r="G140" i="211"/>
  <c r="F140" i="211"/>
  <c r="D140" i="211"/>
  <c r="K139" i="211"/>
  <c r="I139" i="211"/>
  <c r="G139" i="211"/>
  <c r="F139" i="211"/>
  <c r="D139" i="211"/>
  <c r="K138" i="211"/>
  <c r="I138" i="211"/>
  <c r="G138" i="211"/>
  <c r="F138" i="211"/>
  <c r="D138" i="211"/>
  <c r="K137" i="211"/>
  <c r="I137" i="211"/>
  <c r="G137" i="211"/>
  <c r="F137" i="211"/>
  <c r="D137" i="211"/>
  <c r="K136" i="211"/>
  <c r="G136" i="211"/>
  <c r="K135" i="211"/>
  <c r="I135" i="211"/>
  <c r="K134" i="211"/>
  <c r="I134" i="211"/>
  <c r="K133" i="211"/>
  <c r="I133" i="211"/>
  <c r="AJ132" i="211"/>
  <c r="AD132" i="211"/>
  <c r="AC132" i="211"/>
  <c r="AA132" i="211"/>
  <c r="K132" i="211"/>
  <c r="I132" i="211"/>
  <c r="K130" i="211"/>
  <c r="I130" i="211"/>
  <c r="G130" i="211"/>
  <c r="K129" i="211"/>
  <c r="I129" i="211"/>
  <c r="G129" i="211"/>
  <c r="K128" i="211"/>
  <c r="I128" i="211"/>
  <c r="G128" i="211"/>
  <c r="K127" i="211"/>
  <c r="J127" i="211"/>
  <c r="I127" i="211"/>
  <c r="H127" i="211"/>
  <c r="G127" i="211"/>
  <c r="F127" i="211"/>
  <c r="D127" i="211"/>
  <c r="K126" i="211"/>
  <c r="I126" i="211"/>
  <c r="G126" i="211"/>
  <c r="F126" i="211"/>
  <c r="D126" i="211"/>
  <c r="K125" i="211"/>
  <c r="I125" i="211"/>
  <c r="G125" i="211"/>
  <c r="F125" i="211"/>
  <c r="D125" i="211"/>
  <c r="K124" i="211"/>
  <c r="I124" i="211"/>
  <c r="G124" i="211"/>
  <c r="F124" i="211"/>
  <c r="D124" i="211"/>
  <c r="K123" i="211"/>
  <c r="I123" i="211"/>
  <c r="G123" i="211"/>
  <c r="F123" i="211"/>
  <c r="D123" i="211"/>
  <c r="K122" i="211"/>
  <c r="I122" i="211"/>
  <c r="G122" i="211"/>
  <c r="F122" i="211"/>
  <c r="D122" i="211"/>
  <c r="K121" i="211"/>
  <c r="I121" i="211"/>
  <c r="G121" i="211"/>
  <c r="F121" i="211"/>
  <c r="D121" i="211"/>
  <c r="K120" i="211"/>
  <c r="G120" i="211"/>
  <c r="K119" i="211"/>
  <c r="I119" i="211"/>
  <c r="K118" i="211"/>
  <c r="I118" i="211"/>
  <c r="K117" i="211"/>
  <c r="I117" i="211"/>
  <c r="AJ116" i="211"/>
  <c r="AD116" i="211"/>
  <c r="AC116" i="211"/>
  <c r="AA116" i="211"/>
  <c r="K116" i="211"/>
  <c r="I116" i="211"/>
  <c r="K114" i="211"/>
  <c r="I114" i="211"/>
  <c r="G114" i="211"/>
  <c r="K113" i="211"/>
  <c r="I113" i="211"/>
  <c r="G113" i="211"/>
  <c r="K112" i="211"/>
  <c r="I112" i="211"/>
  <c r="G112" i="211"/>
  <c r="K111" i="211"/>
  <c r="J111" i="211"/>
  <c r="I111" i="211"/>
  <c r="H111" i="211"/>
  <c r="G111" i="211"/>
  <c r="F111" i="211"/>
  <c r="D111" i="211"/>
  <c r="K110" i="211"/>
  <c r="I110" i="211"/>
  <c r="G110" i="211"/>
  <c r="F110" i="211"/>
  <c r="D110" i="211"/>
  <c r="K109" i="211"/>
  <c r="I109" i="211"/>
  <c r="G109" i="211"/>
  <c r="F109" i="211"/>
  <c r="D109" i="211"/>
  <c r="K108" i="211"/>
  <c r="I108" i="211"/>
  <c r="G108" i="211"/>
  <c r="F108" i="211"/>
  <c r="D108" i="211"/>
  <c r="K107" i="211"/>
  <c r="I107" i="211"/>
  <c r="G107" i="211"/>
  <c r="F107" i="211"/>
  <c r="D107" i="211"/>
  <c r="K106" i="211"/>
  <c r="I106" i="211"/>
  <c r="G106" i="211"/>
  <c r="F106" i="211"/>
  <c r="D106" i="211"/>
  <c r="K105" i="211"/>
  <c r="I105" i="211"/>
  <c r="G105" i="211"/>
  <c r="F105" i="211"/>
  <c r="D105" i="211"/>
  <c r="K104" i="211"/>
  <c r="G104" i="211"/>
  <c r="K103" i="211"/>
  <c r="I103" i="211"/>
  <c r="K102" i="211"/>
  <c r="I102" i="211"/>
  <c r="K101" i="211"/>
  <c r="I101" i="211"/>
  <c r="AJ100" i="211"/>
  <c r="AD100" i="211"/>
  <c r="AC100" i="211"/>
  <c r="AA100" i="211"/>
  <c r="K100" i="211"/>
  <c r="I100" i="211"/>
  <c r="K98" i="211"/>
  <c r="I98" i="211"/>
  <c r="G98" i="211"/>
  <c r="K97" i="211"/>
  <c r="I97" i="211"/>
  <c r="G97" i="211"/>
  <c r="K96" i="211"/>
  <c r="I96" i="211"/>
  <c r="G96" i="211"/>
  <c r="K95" i="211"/>
  <c r="J95" i="211"/>
  <c r="I95" i="211"/>
  <c r="H95" i="211"/>
  <c r="G95" i="211"/>
  <c r="F95" i="211"/>
  <c r="D95" i="211"/>
  <c r="K94" i="211"/>
  <c r="I94" i="211"/>
  <c r="G94" i="211"/>
  <c r="F94" i="211"/>
  <c r="D94" i="211"/>
  <c r="K93" i="211"/>
  <c r="I93" i="211"/>
  <c r="G93" i="211"/>
  <c r="F93" i="211"/>
  <c r="D93" i="211"/>
  <c r="K92" i="211"/>
  <c r="I92" i="211"/>
  <c r="G92" i="211"/>
  <c r="F92" i="211"/>
  <c r="D92" i="211"/>
  <c r="K91" i="211"/>
  <c r="I91" i="211"/>
  <c r="G91" i="211"/>
  <c r="F91" i="211"/>
  <c r="D91" i="211"/>
  <c r="K90" i="211"/>
  <c r="I90" i="211"/>
  <c r="G90" i="211"/>
  <c r="F90" i="211"/>
  <c r="D90" i="211"/>
  <c r="K89" i="211"/>
  <c r="I89" i="211"/>
  <c r="G89" i="211"/>
  <c r="F89" i="211"/>
  <c r="D89" i="211"/>
  <c r="K88" i="211"/>
  <c r="G88" i="211"/>
  <c r="K87" i="211"/>
  <c r="I87" i="211"/>
  <c r="K86" i="211"/>
  <c r="I86" i="211"/>
  <c r="K85" i="211"/>
  <c r="I85" i="211"/>
  <c r="AJ84" i="211"/>
  <c r="AD84" i="211"/>
  <c r="AC84" i="211"/>
  <c r="AA84" i="211"/>
  <c r="K84" i="211"/>
  <c r="I84" i="211"/>
  <c r="K82" i="211"/>
  <c r="I82" i="211"/>
  <c r="G82" i="211"/>
  <c r="K81" i="211"/>
  <c r="I81" i="211"/>
  <c r="G81" i="211"/>
  <c r="K80" i="211"/>
  <c r="I80" i="211"/>
  <c r="G80" i="211"/>
  <c r="K79" i="211"/>
  <c r="J79" i="211"/>
  <c r="I79" i="211"/>
  <c r="H79" i="211"/>
  <c r="G79" i="211"/>
  <c r="F79" i="211"/>
  <c r="D79" i="211"/>
  <c r="K78" i="211"/>
  <c r="I78" i="211"/>
  <c r="G78" i="211"/>
  <c r="F78" i="211"/>
  <c r="D78" i="211"/>
  <c r="K77" i="211"/>
  <c r="I77" i="211"/>
  <c r="G77" i="211"/>
  <c r="F77" i="211"/>
  <c r="D77" i="211"/>
  <c r="K76" i="211"/>
  <c r="I76" i="211"/>
  <c r="G76" i="211"/>
  <c r="F76" i="211"/>
  <c r="D76" i="211"/>
  <c r="K75" i="211"/>
  <c r="I75" i="211"/>
  <c r="G75" i="211"/>
  <c r="F75" i="211"/>
  <c r="D75" i="211"/>
  <c r="K74" i="211"/>
  <c r="I74" i="211"/>
  <c r="G74" i="211"/>
  <c r="F74" i="211"/>
  <c r="D74" i="211"/>
  <c r="K73" i="211"/>
  <c r="I73" i="211"/>
  <c r="G73" i="211"/>
  <c r="F73" i="211"/>
  <c r="D73" i="211"/>
  <c r="K72" i="211"/>
  <c r="G72" i="211"/>
  <c r="K71" i="211"/>
  <c r="I71" i="211"/>
  <c r="K70" i="211"/>
  <c r="I70" i="211"/>
  <c r="K69" i="211"/>
  <c r="I69" i="211"/>
  <c r="AJ68" i="211"/>
  <c r="AD68" i="211"/>
  <c r="AC68" i="211"/>
  <c r="AA68" i="211"/>
  <c r="K68" i="211"/>
  <c r="I68" i="211"/>
  <c r="K66" i="211"/>
  <c r="I66" i="211"/>
  <c r="G66" i="211"/>
  <c r="K65" i="211"/>
  <c r="I65" i="211"/>
  <c r="G65" i="211"/>
  <c r="K64" i="211"/>
  <c r="I64" i="211"/>
  <c r="G64" i="211"/>
  <c r="K63" i="211"/>
  <c r="J63" i="211"/>
  <c r="I63" i="211"/>
  <c r="H63" i="211"/>
  <c r="G63" i="211"/>
  <c r="F63" i="211"/>
  <c r="D63" i="211"/>
  <c r="K62" i="211"/>
  <c r="I62" i="211"/>
  <c r="G62" i="211"/>
  <c r="F62" i="211"/>
  <c r="D62" i="211"/>
  <c r="K61" i="211"/>
  <c r="I61" i="211"/>
  <c r="G61" i="211"/>
  <c r="F61" i="211"/>
  <c r="D61" i="211"/>
  <c r="K60" i="211"/>
  <c r="I60" i="211"/>
  <c r="G60" i="211"/>
  <c r="F60" i="211"/>
  <c r="D60" i="211"/>
  <c r="K59" i="211"/>
  <c r="I59" i="211"/>
  <c r="G59" i="211"/>
  <c r="F59" i="211"/>
  <c r="D59" i="211"/>
  <c r="K58" i="211"/>
  <c r="I58" i="211"/>
  <c r="G58" i="211"/>
  <c r="F58" i="211"/>
  <c r="D58" i="211"/>
  <c r="K57" i="211"/>
  <c r="I57" i="211"/>
  <c r="G57" i="211"/>
  <c r="F57" i="211"/>
  <c r="D57" i="211"/>
  <c r="K56" i="211"/>
  <c r="G56" i="211"/>
  <c r="K55" i="211"/>
  <c r="I55" i="211"/>
  <c r="K54" i="211"/>
  <c r="I54" i="211"/>
  <c r="K53" i="211"/>
  <c r="I53" i="211"/>
  <c r="AJ52" i="211"/>
  <c r="AD52" i="211"/>
  <c r="AC52" i="211"/>
  <c r="AA52" i="211"/>
  <c r="K52" i="211"/>
  <c r="I52" i="211"/>
  <c r="K50" i="211"/>
  <c r="I50" i="211"/>
  <c r="G50" i="211"/>
  <c r="K49" i="211"/>
  <c r="I49" i="211"/>
  <c r="G49" i="211"/>
  <c r="K48" i="211"/>
  <c r="I48" i="211"/>
  <c r="G48" i="211"/>
  <c r="K47" i="211"/>
  <c r="J47" i="211"/>
  <c r="I47" i="211"/>
  <c r="H47" i="211"/>
  <c r="G47" i="211"/>
  <c r="F47" i="211"/>
  <c r="D47" i="211"/>
  <c r="K46" i="211"/>
  <c r="I46" i="211"/>
  <c r="G46" i="211"/>
  <c r="F46" i="211"/>
  <c r="D46" i="211"/>
  <c r="K45" i="211"/>
  <c r="I45" i="211"/>
  <c r="G45" i="211"/>
  <c r="F45" i="211"/>
  <c r="D45" i="211"/>
  <c r="K44" i="211"/>
  <c r="I44" i="211"/>
  <c r="G44" i="211"/>
  <c r="F44" i="211"/>
  <c r="D44" i="211"/>
  <c r="K43" i="211"/>
  <c r="I43" i="211"/>
  <c r="G43" i="211"/>
  <c r="F43" i="211"/>
  <c r="D43" i="211"/>
  <c r="K42" i="211"/>
  <c r="I42" i="211"/>
  <c r="G42" i="211"/>
  <c r="F42" i="211"/>
  <c r="D42" i="211"/>
  <c r="K41" i="211"/>
  <c r="I41" i="211"/>
  <c r="G41" i="211"/>
  <c r="F41" i="211"/>
  <c r="D41" i="211"/>
  <c r="K40" i="211"/>
  <c r="G40" i="211"/>
  <c r="K39" i="211"/>
  <c r="I39" i="211"/>
  <c r="K38" i="211"/>
  <c r="I38" i="211"/>
  <c r="K37" i="211"/>
  <c r="I37" i="211"/>
  <c r="AJ36" i="211"/>
  <c r="AD36" i="211"/>
  <c r="AC36" i="211"/>
  <c r="AA36" i="211"/>
  <c r="K36" i="211"/>
  <c r="I36" i="211"/>
  <c r="K34" i="211"/>
  <c r="I34" i="211"/>
  <c r="G34" i="211"/>
  <c r="K33" i="211"/>
  <c r="I33" i="211"/>
  <c r="G33" i="211"/>
  <c r="K32" i="211"/>
  <c r="I32" i="211"/>
  <c r="G32" i="211"/>
  <c r="K31" i="211"/>
  <c r="J31" i="211"/>
  <c r="I31" i="211"/>
  <c r="H31" i="211"/>
  <c r="G31" i="211"/>
  <c r="F31" i="211"/>
  <c r="D31" i="211"/>
  <c r="K30" i="211"/>
  <c r="I30" i="211"/>
  <c r="G30" i="211"/>
  <c r="F30" i="211"/>
  <c r="D30" i="211"/>
  <c r="K29" i="211"/>
  <c r="I29" i="211"/>
  <c r="G29" i="211"/>
  <c r="F29" i="211"/>
  <c r="D29" i="211"/>
  <c r="K28" i="211"/>
  <c r="I28" i="211"/>
  <c r="G28" i="211"/>
  <c r="F28" i="211"/>
  <c r="D28" i="211"/>
  <c r="K27" i="211"/>
  <c r="I27" i="211"/>
  <c r="G27" i="211"/>
  <c r="F27" i="211"/>
  <c r="D27" i="211"/>
  <c r="K26" i="211"/>
  <c r="I26" i="211"/>
  <c r="G26" i="211"/>
  <c r="F26" i="211"/>
  <c r="D26" i="211"/>
  <c r="K25" i="211"/>
  <c r="I25" i="211"/>
  <c r="G25" i="211"/>
  <c r="F25" i="211"/>
  <c r="D25" i="211"/>
  <c r="K24" i="211"/>
  <c r="G24" i="211"/>
  <c r="K23" i="211"/>
  <c r="I23" i="211"/>
  <c r="K22" i="211"/>
  <c r="I22" i="211"/>
  <c r="K21" i="211"/>
  <c r="I21" i="211"/>
  <c r="AJ20" i="211"/>
  <c r="AD20" i="211"/>
  <c r="AC20" i="211"/>
  <c r="AA20" i="211"/>
  <c r="K20" i="211"/>
  <c r="I20" i="211"/>
  <c r="K18" i="211"/>
  <c r="I18" i="211"/>
  <c r="G18" i="211"/>
  <c r="K17" i="211"/>
  <c r="I17" i="211"/>
  <c r="G17" i="211"/>
  <c r="K16" i="211"/>
  <c r="I16" i="211"/>
  <c r="G16" i="211"/>
  <c r="K15" i="211"/>
  <c r="J15" i="211"/>
  <c r="I15" i="211"/>
  <c r="H15" i="211"/>
  <c r="G15" i="211"/>
  <c r="F15" i="211"/>
  <c r="D15" i="211"/>
  <c r="K14" i="211"/>
  <c r="I14" i="211"/>
  <c r="G14" i="211"/>
  <c r="F14" i="211"/>
  <c r="D14" i="211"/>
  <c r="K13" i="211"/>
  <c r="I13" i="211"/>
  <c r="G13" i="211"/>
  <c r="F13" i="211"/>
  <c r="D13" i="211"/>
  <c r="K12" i="211"/>
  <c r="I12" i="211"/>
  <c r="G12" i="211"/>
  <c r="F12" i="211"/>
  <c r="D12" i="211"/>
  <c r="K11" i="211"/>
  <c r="I11" i="211"/>
  <c r="G11" i="211"/>
  <c r="F11" i="211"/>
  <c r="D11" i="211"/>
  <c r="K10" i="211"/>
  <c r="I10" i="211"/>
  <c r="G10" i="211"/>
  <c r="F10" i="211"/>
  <c r="D10" i="211"/>
  <c r="K9" i="211"/>
  <c r="I9" i="211"/>
  <c r="G9" i="211"/>
  <c r="F9" i="211"/>
  <c r="D9" i="211"/>
  <c r="K8" i="211"/>
  <c r="G8" i="211"/>
  <c r="K7" i="211"/>
  <c r="I7" i="211"/>
  <c r="K6" i="211"/>
  <c r="I6" i="211"/>
  <c r="K5" i="211"/>
  <c r="I5" i="211"/>
  <c r="AJ4" i="211"/>
  <c r="AD4" i="211"/>
  <c r="AC4" i="211"/>
  <c r="AA4" i="211"/>
  <c r="K4" i="211"/>
  <c r="I4" i="211"/>
  <c r="AM226" i="210"/>
  <c r="AM225" i="210"/>
  <c r="AK13" i="210"/>
  <c r="AK12" i="210"/>
  <c r="AK11" i="210"/>
  <c r="AN10" i="210"/>
  <c r="AK10" i="210"/>
  <c r="AN9" i="210"/>
  <c r="AK9" i="210"/>
  <c r="AN8" i="210"/>
  <c r="AK8" i="210"/>
  <c r="AN7" i="210"/>
  <c r="AK7" i="210"/>
  <c r="AN6" i="210"/>
  <c r="AK6" i="210"/>
  <c r="AN5" i="210"/>
  <c r="AK5" i="210"/>
  <c r="AN4" i="210"/>
  <c r="AK4" i="210"/>
  <c r="AN3" i="210"/>
  <c r="AN2" i="210"/>
  <c r="AN1" i="210"/>
  <c r="U12" i="209"/>
  <c r="D312" i="209" s="1"/>
  <c r="T12" i="209"/>
  <c r="B295" i="209" s="1"/>
  <c r="AD293" i="209" s="1"/>
  <c r="H149" i="211" s="1"/>
  <c r="S12" i="209"/>
  <c r="B294" i="209" s="1"/>
  <c r="R12" i="209"/>
  <c r="B293" i="209" s="1"/>
  <c r="Q12" i="209"/>
  <c r="C310" i="209" s="1"/>
  <c r="P12" i="209"/>
  <c r="C307" i="209" s="1"/>
  <c r="B307" i="209" s="1"/>
  <c r="K12" i="209"/>
  <c r="L12" i="209" s="1"/>
  <c r="U11" i="209"/>
  <c r="D280" i="209" s="1"/>
  <c r="T11" i="209"/>
  <c r="B263" i="209" s="1"/>
  <c r="AD263" i="209" s="1"/>
  <c r="H135" i="211" s="1"/>
  <c r="S11" i="209"/>
  <c r="B262" i="209" s="1"/>
  <c r="R11" i="209"/>
  <c r="B261" i="209" s="1"/>
  <c r="Q11" i="209"/>
  <c r="C278" i="209" s="1"/>
  <c r="P11" i="209"/>
  <c r="C276" i="209" s="1"/>
  <c r="B276" i="209" s="1"/>
  <c r="K11" i="209"/>
  <c r="L11" i="209" s="1"/>
  <c r="U10" i="209"/>
  <c r="D248" i="209" s="1"/>
  <c r="T10" i="209"/>
  <c r="B231" i="209" s="1"/>
  <c r="AD228" i="209" s="1"/>
  <c r="H116" i="211" s="1"/>
  <c r="S10" i="209"/>
  <c r="B230" i="209" s="1"/>
  <c r="R10" i="209"/>
  <c r="B229" i="209" s="1"/>
  <c r="Q10" i="209"/>
  <c r="C246" i="209" s="1"/>
  <c r="P10" i="209"/>
  <c r="C243" i="209" s="1"/>
  <c r="B232" i="209"/>
  <c r="Y232" i="209" s="1"/>
  <c r="D120" i="211" s="1"/>
  <c r="K10" i="209"/>
  <c r="L10" i="209" s="1"/>
  <c r="U9" i="209"/>
  <c r="D216" i="209" s="1"/>
  <c r="T9" i="209"/>
  <c r="B199" i="209" s="1"/>
  <c r="AD200" i="209" s="1"/>
  <c r="H104" i="211" s="1"/>
  <c r="S9" i="209"/>
  <c r="B198" i="209" s="1"/>
  <c r="R9" i="209"/>
  <c r="B197" i="209" s="1"/>
  <c r="Q9" i="209"/>
  <c r="C214" i="209" s="1"/>
  <c r="P9" i="209"/>
  <c r="B200" i="209"/>
  <c r="Y200" i="209" s="1"/>
  <c r="D104" i="211" s="1"/>
  <c r="K9" i="209"/>
  <c r="L9" i="209" s="1"/>
  <c r="U8" i="209"/>
  <c r="T8" i="209"/>
  <c r="B167" i="209" s="1"/>
  <c r="AD172" i="209" s="1"/>
  <c r="H92" i="211" s="1"/>
  <c r="S8" i="209"/>
  <c r="B166" i="209" s="1"/>
  <c r="R8" i="209"/>
  <c r="B165" i="209" s="1"/>
  <c r="Q8" i="209"/>
  <c r="C182" i="209" s="1"/>
  <c r="P8" i="209"/>
  <c r="C177" i="209" s="1"/>
  <c r="B177" i="209" s="1"/>
  <c r="B168" i="209"/>
  <c r="Y168" i="209" s="1"/>
  <c r="D88" i="211" s="1"/>
  <c r="K8" i="209"/>
  <c r="L8" i="209" s="1"/>
  <c r="O8" i="209" s="1"/>
  <c r="U7" i="209"/>
  <c r="D152" i="209" s="1"/>
  <c r="T7" i="209"/>
  <c r="B135" i="209" s="1"/>
  <c r="AD146" i="209" s="1"/>
  <c r="H82" i="211" s="1"/>
  <c r="S7" i="209"/>
  <c r="B134" i="209" s="1"/>
  <c r="R7" i="209"/>
  <c r="B133" i="209" s="1"/>
  <c r="Q7" i="209"/>
  <c r="C150" i="209" s="1"/>
  <c r="P7" i="209"/>
  <c r="B136" i="209"/>
  <c r="Y136" i="209" s="1"/>
  <c r="D72" i="211" s="1"/>
  <c r="K7" i="209"/>
  <c r="L7" i="209" s="1"/>
  <c r="O7" i="209" s="1"/>
  <c r="U6" i="209"/>
  <c r="D120" i="209" s="1"/>
  <c r="T6" i="209"/>
  <c r="B103" i="209" s="1"/>
  <c r="AD110" i="209" s="1"/>
  <c r="H62" i="211" s="1"/>
  <c r="S6" i="209"/>
  <c r="B102" i="209" s="1"/>
  <c r="R6" i="209"/>
  <c r="B101" i="209" s="1"/>
  <c r="Q6" i="209"/>
  <c r="C118" i="209" s="1"/>
  <c r="P6" i="209"/>
  <c r="B104" i="209"/>
  <c r="Y104" i="209" s="1"/>
  <c r="D56" i="211" s="1"/>
  <c r="K6" i="209"/>
  <c r="L6" i="209" s="1"/>
  <c r="U5" i="209"/>
  <c r="D88" i="209" s="1"/>
  <c r="T5" i="209"/>
  <c r="B71" i="209" s="1"/>
  <c r="AD75" i="209" s="1"/>
  <c r="AA75" i="209" s="1"/>
  <c r="J43" i="211" s="1"/>
  <c r="S5" i="209"/>
  <c r="B70" i="209" s="1"/>
  <c r="R5" i="209"/>
  <c r="B69" i="209" s="1"/>
  <c r="Q5" i="209"/>
  <c r="C86" i="209" s="1"/>
  <c r="P5" i="209"/>
  <c r="C84" i="209" s="1"/>
  <c r="B84" i="209" s="1"/>
  <c r="B72" i="209"/>
  <c r="Y72" i="209" s="1"/>
  <c r="D40" i="211" s="1"/>
  <c r="K5" i="209"/>
  <c r="L5" i="209" s="1"/>
  <c r="O5" i="209" s="1"/>
  <c r="U4" i="209"/>
  <c r="D56" i="209" s="1"/>
  <c r="T4" i="209"/>
  <c r="B39" i="209" s="1"/>
  <c r="AD40" i="209" s="1"/>
  <c r="H24" i="211" s="1"/>
  <c r="S4" i="209"/>
  <c r="B38" i="209" s="1"/>
  <c r="R4" i="209"/>
  <c r="B37" i="209" s="1"/>
  <c r="Q4" i="209"/>
  <c r="C54" i="209" s="1"/>
  <c r="P4" i="209"/>
  <c r="B40" i="209"/>
  <c r="Y40" i="209" s="1"/>
  <c r="D24" i="211" s="1"/>
  <c r="K4" i="209"/>
  <c r="L4" i="209" s="1"/>
  <c r="U3" i="209"/>
  <c r="T3" i="209"/>
  <c r="B7" i="209" s="1"/>
  <c r="S3" i="209"/>
  <c r="B6" i="209" s="1"/>
  <c r="R3" i="209"/>
  <c r="B5" i="209" s="1"/>
  <c r="Q3" i="209"/>
  <c r="C22" i="209" s="1"/>
  <c r="P3" i="209"/>
  <c r="K3" i="209"/>
  <c r="L3" i="209" s="1"/>
  <c r="F13" i="203"/>
  <c r="B260" i="209" l="1"/>
  <c r="O11" i="209"/>
  <c r="B36" i="209"/>
  <c r="O4" i="209"/>
  <c r="B292" i="209"/>
  <c r="O12" i="209"/>
  <c r="B228" i="209"/>
  <c r="O10" i="209"/>
  <c r="B4" i="209"/>
  <c r="O3" i="209"/>
  <c r="B39" i="200" s="1"/>
  <c r="B100" i="209"/>
  <c r="O6" i="209"/>
  <c r="B196" i="209"/>
  <c r="O9" i="209"/>
  <c r="AA13" i="209"/>
  <c r="AA77" i="209"/>
  <c r="AA109" i="209"/>
  <c r="AA205" i="209"/>
  <c r="AA269" i="209"/>
  <c r="AA45" i="209"/>
  <c r="AA141" i="209"/>
  <c r="J77" i="211" s="1"/>
  <c r="AA237" i="209"/>
  <c r="J125" i="211" s="1"/>
  <c r="AA301" i="209"/>
  <c r="J157" i="211" s="1"/>
  <c r="AA173" i="209"/>
  <c r="AA306" i="209"/>
  <c r="J162" i="211" s="1"/>
  <c r="G68" i="200"/>
  <c r="AA114" i="209"/>
  <c r="J66" i="211" s="1"/>
  <c r="G50" i="200"/>
  <c r="AA210" i="209"/>
  <c r="J114" i="211" s="1"/>
  <c r="G59" i="200"/>
  <c r="AA274" i="209"/>
  <c r="J146" i="211" s="1"/>
  <c r="G65" i="200"/>
  <c r="AA82" i="209"/>
  <c r="J50" i="211" s="1"/>
  <c r="G47" i="200"/>
  <c r="AA50" i="209"/>
  <c r="J34" i="211" s="1"/>
  <c r="G44" i="200"/>
  <c r="AA146" i="209"/>
  <c r="J82" i="211" s="1"/>
  <c r="G53" i="200"/>
  <c r="AA242" i="209"/>
  <c r="J130" i="211" s="1"/>
  <c r="G62" i="200"/>
  <c r="D184" i="209"/>
  <c r="AP8" i="210"/>
  <c r="B243" i="209"/>
  <c r="Y230" i="209" s="1"/>
  <c r="D118" i="211" s="1"/>
  <c r="J45" i="211"/>
  <c r="AA168" i="209"/>
  <c r="J88" i="211" s="1"/>
  <c r="B122" i="209"/>
  <c r="B121" i="209"/>
  <c r="B120" i="209"/>
  <c r="B50" i="200" s="1"/>
  <c r="B90" i="209"/>
  <c r="B89" i="209"/>
  <c r="B88" i="209"/>
  <c r="B47" i="200" s="1"/>
  <c r="B154" i="209"/>
  <c r="B153" i="209"/>
  <c r="B152" i="209"/>
  <c r="B53" i="200" s="1"/>
  <c r="B250" i="209"/>
  <c r="B249" i="209"/>
  <c r="B248" i="209"/>
  <c r="B62" i="200" s="1"/>
  <c r="B218" i="209"/>
  <c r="B217" i="209"/>
  <c r="B216" i="209"/>
  <c r="B59" i="200" s="1"/>
  <c r="B186" i="209"/>
  <c r="B185" i="209"/>
  <c r="B184" i="209"/>
  <c r="B56" i="200" s="1"/>
  <c r="B26" i="209"/>
  <c r="B25" i="209"/>
  <c r="B24" i="209"/>
  <c r="B41" i="200" s="1"/>
  <c r="B314" i="209"/>
  <c r="B313" i="209"/>
  <c r="B312" i="209"/>
  <c r="B68" i="200" s="1"/>
  <c r="B282" i="209"/>
  <c r="B281" i="209"/>
  <c r="B280" i="209"/>
  <c r="B65" i="200" s="1"/>
  <c r="B58" i="209"/>
  <c r="B57" i="209"/>
  <c r="B56" i="209"/>
  <c r="B44" i="200" s="1"/>
  <c r="D307" i="209"/>
  <c r="D276" i="209"/>
  <c r="AP10" i="210"/>
  <c r="AP6" i="210"/>
  <c r="AP3" i="210"/>
  <c r="D24" i="209"/>
  <c r="J61" i="211"/>
  <c r="AD266" i="209"/>
  <c r="H138" i="211" s="1"/>
  <c r="J29" i="211"/>
  <c r="AD71" i="209"/>
  <c r="H39" i="211" s="1"/>
  <c r="AD103" i="209"/>
  <c r="H55" i="211" s="1"/>
  <c r="AP4" i="210"/>
  <c r="AP9" i="210"/>
  <c r="AP5" i="210"/>
  <c r="AP11" i="210"/>
  <c r="AP7" i="210"/>
  <c r="AP2" i="210"/>
  <c r="F276" i="209"/>
  <c r="B8" i="209"/>
  <c r="Y8" i="209" s="1"/>
  <c r="D8" i="211" s="1"/>
  <c r="B169" i="209"/>
  <c r="Z168" i="209" s="1"/>
  <c r="F88" i="211" s="1"/>
  <c r="AD36" i="209"/>
  <c r="H20" i="211" s="1"/>
  <c r="AD135" i="209"/>
  <c r="H71" i="211" s="1"/>
  <c r="B233" i="209"/>
  <c r="P116" i="211" s="1"/>
  <c r="AD39" i="209"/>
  <c r="H23" i="211" s="1"/>
  <c r="AD45" i="209"/>
  <c r="H29" i="211" s="1"/>
  <c r="F84" i="209"/>
  <c r="F177" i="209"/>
  <c r="AD100" i="209"/>
  <c r="H52" i="211" s="1"/>
  <c r="B105" i="209"/>
  <c r="D111" i="209" s="1"/>
  <c r="B111" i="209" s="1"/>
  <c r="AD164" i="209"/>
  <c r="H84" i="211" s="1"/>
  <c r="AD109" i="209"/>
  <c r="H61" i="211" s="1"/>
  <c r="AD302" i="209"/>
  <c r="H158" i="211" s="1"/>
  <c r="H43" i="211"/>
  <c r="B201" i="209"/>
  <c r="P100" i="211" s="1"/>
  <c r="B68" i="209"/>
  <c r="Y71" i="209"/>
  <c r="D39" i="211" s="1"/>
  <c r="B9" i="209"/>
  <c r="P4" i="211" s="1"/>
  <c r="B132" i="209"/>
  <c r="D25" i="209"/>
  <c r="AD13" i="209"/>
  <c r="H13" i="211" s="1"/>
  <c r="AD17" i="209"/>
  <c r="H17" i="211" s="1"/>
  <c r="AD6" i="209"/>
  <c r="H6" i="211" s="1"/>
  <c r="AD7" i="209"/>
  <c r="H7" i="211" s="1"/>
  <c r="AD18" i="209"/>
  <c r="H18" i="211" s="1"/>
  <c r="J13" i="211"/>
  <c r="AD5" i="209"/>
  <c r="H5" i="211" s="1"/>
  <c r="AD11" i="209"/>
  <c r="AD9" i="209"/>
  <c r="H9" i="211" s="1"/>
  <c r="AD14" i="209"/>
  <c r="H14" i="211" s="1"/>
  <c r="AD8" i="209"/>
  <c r="H8" i="211" s="1"/>
  <c r="AA8" i="209"/>
  <c r="J8" i="211" s="1"/>
  <c r="AD10" i="209"/>
  <c r="H10" i="211" s="1"/>
  <c r="AD12" i="209"/>
  <c r="H12" i="211" s="1"/>
  <c r="AD4" i="209"/>
  <c r="H4" i="211" s="1"/>
  <c r="Y164" i="209"/>
  <c r="D84" i="211" s="1"/>
  <c r="C115" i="209"/>
  <c r="B115" i="209" s="1"/>
  <c r="C116" i="209"/>
  <c r="B116" i="209" s="1"/>
  <c r="C114" i="209"/>
  <c r="B114" i="209" s="1"/>
  <c r="AC7" i="209"/>
  <c r="G7" i="211" s="1"/>
  <c r="D217" i="209"/>
  <c r="AD205" i="209"/>
  <c r="H109" i="211" s="1"/>
  <c r="AD201" i="209"/>
  <c r="AD209" i="209"/>
  <c r="H113" i="211" s="1"/>
  <c r="AA200" i="209"/>
  <c r="J104" i="211" s="1"/>
  <c r="AD210" i="209"/>
  <c r="H114" i="211" s="1"/>
  <c r="AD203" i="209"/>
  <c r="AD241" i="209"/>
  <c r="H129" i="211" s="1"/>
  <c r="AA232" i="209"/>
  <c r="J120" i="211" s="1"/>
  <c r="AD242" i="209"/>
  <c r="H130" i="211" s="1"/>
  <c r="AD235" i="209"/>
  <c r="D249" i="209"/>
  <c r="AD237" i="209"/>
  <c r="H125" i="211" s="1"/>
  <c r="AD233" i="209"/>
  <c r="H121" i="211" s="1"/>
  <c r="AD76" i="209"/>
  <c r="H44" i="211" s="1"/>
  <c r="AD140" i="209"/>
  <c r="H76" i="211" s="1"/>
  <c r="AD167" i="209"/>
  <c r="H87" i="211" s="1"/>
  <c r="AD174" i="209"/>
  <c r="H94" i="211" s="1"/>
  <c r="AD199" i="209"/>
  <c r="H103" i="211" s="1"/>
  <c r="AD238" i="209"/>
  <c r="H126" i="211" s="1"/>
  <c r="AD264" i="209"/>
  <c r="H136" i="211" s="1"/>
  <c r="AD298" i="209"/>
  <c r="H154" i="211" s="1"/>
  <c r="C20" i="209"/>
  <c r="B20" i="209" s="1"/>
  <c r="C17" i="209"/>
  <c r="B17" i="209" s="1"/>
  <c r="C18" i="209"/>
  <c r="B18" i="209" s="1"/>
  <c r="C19" i="209"/>
  <c r="B19" i="209" s="1"/>
  <c r="B137" i="209"/>
  <c r="P68" i="211" s="1"/>
  <c r="AC102" i="209"/>
  <c r="G54" i="211" s="1"/>
  <c r="AC100" i="209"/>
  <c r="G52" i="211" s="1"/>
  <c r="D122" i="209"/>
  <c r="AA113" i="209" s="1"/>
  <c r="J65" i="211" s="1"/>
  <c r="B107" i="209"/>
  <c r="AA108" i="209"/>
  <c r="J60" i="211" s="1"/>
  <c r="AA110" i="209"/>
  <c r="J62" i="211" s="1"/>
  <c r="AC103" i="209"/>
  <c r="G55" i="211" s="1"/>
  <c r="AC101" i="209"/>
  <c r="G53" i="211" s="1"/>
  <c r="B11" i="209"/>
  <c r="AA40" i="209"/>
  <c r="J24" i="211" s="1"/>
  <c r="AD46" i="209"/>
  <c r="H30" i="211" s="1"/>
  <c r="AD68" i="209"/>
  <c r="H36" i="211" s="1"/>
  <c r="AD78" i="209"/>
  <c r="H46" i="211" s="1"/>
  <c r="AA104" i="209"/>
  <c r="J56" i="211" s="1"/>
  <c r="AD132" i="209"/>
  <c r="H68" i="211" s="1"/>
  <c r="AD142" i="209"/>
  <c r="H78" i="211" s="1"/>
  <c r="AD168" i="209"/>
  <c r="H88" i="211" s="1"/>
  <c r="AD229" i="209"/>
  <c r="H117" i="211" s="1"/>
  <c r="AD268" i="209"/>
  <c r="H140" i="211" s="1"/>
  <c r="AC38" i="209"/>
  <c r="G22" i="211" s="1"/>
  <c r="AC36" i="209"/>
  <c r="G20" i="211" s="1"/>
  <c r="D58" i="209"/>
  <c r="AA49" i="209" s="1"/>
  <c r="J33" i="211" s="1"/>
  <c r="B43" i="209"/>
  <c r="AC5" i="209"/>
  <c r="G5" i="211" s="1"/>
  <c r="AD113" i="209"/>
  <c r="H65" i="211" s="1"/>
  <c r="AD114" i="209"/>
  <c r="H66" i="211" s="1"/>
  <c r="AD107" i="209"/>
  <c r="D121" i="209"/>
  <c r="C148" i="209"/>
  <c r="B148" i="209" s="1"/>
  <c r="C145" i="209"/>
  <c r="B145" i="209" s="1"/>
  <c r="C146" i="209"/>
  <c r="B146" i="209" s="1"/>
  <c r="C147" i="209"/>
  <c r="B147" i="209" s="1"/>
  <c r="B297" i="209"/>
  <c r="P148" i="211" s="1"/>
  <c r="B296" i="209"/>
  <c r="Y296" i="209" s="1"/>
  <c r="D152" i="211" s="1"/>
  <c r="AA72" i="209"/>
  <c r="J40" i="211" s="1"/>
  <c r="AD104" i="209"/>
  <c r="H56" i="211" s="1"/>
  <c r="AA136" i="209"/>
  <c r="J72" i="211" s="1"/>
  <c r="AD202" i="209"/>
  <c r="H106" i="211" s="1"/>
  <c r="AD230" i="209"/>
  <c r="H118" i="211" s="1"/>
  <c r="AD270" i="209"/>
  <c r="H142" i="211" s="1"/>
  <c r="C51" i="209"/>
  <c r="B51" i="209" s="1"/>
  <c r="D51" i="209" s="1"/>
  <c r="C52" i="209"/>
  <c r="B52" i="209" s="1"/>
  <c r="D52" i="209" s="1"/>
  <c r="C50" i="209"/>
  <c r="B50" i="209" s="1"/>
  <c r="D50" i="209" s="1"/>
  <c r="B164" i="209"/>
  <c r="AA44" i="209"/>
  <c r="J28" i="211" s="1"/>
  <c r="AA46" i="209"/>
  <c r="J30" i="211" s="1"/>
  <c r="AC39" i="209"/>
  <c r="G23" i="211" s="1"/>
  <c r="AC37" i="209"/>
  <c r="G21" i="211" s="1"/>
  <c r="B73" i="209"/>
  <c r="P36" i="211" s="1"/>
  <c r="B264" i="209"/>
  <c r="Y264" i="209" s="1"/>
  <c r="D136" i="211" s="1"/>
  <c r="AD72" i="209"/>
  <c r="H40" i="211" s="1"/>
  <c r="AD136" i="209"/>
  <c r="H72" i="211" s="1"/>
  <c r="AD169" i="209"/>
  <c r="AD196" i="209"/>
  <c r="H100" i="211" s="1"/>
  <c r="AD49" i="209"/>
  <c r="H33" i="211" s="1"/>
  <c r="AD50" i="209"/>
  <c r="H34" i="211" s="1"/>
  <c r="AD43" i="209"/>
  <c r="D57" i="209"/>
  <c r="AA14" i="209"/>
  <c r="J14" i="211" s="1"/>
  <c r="AA12" i="209"/>
  <c r="J12" i="211" s="1"/>
  <c r="B12" i="209"/>
  <c r="AC134" i="209"/>
  <c r="G70" i="211" s="1"/>
  <c r="AC132" i="209"/>
  <c r="G68" i="211" s="1"/>
  <c r="B139" i="209"/>
  <c r="Y294" i="209"/>
  <c r="D150" i="211" s="1"/>
  <c r="AD37" i="209"/>
  <c r="H21" i="211" s="1"/>
  <c r="AD41" i="209"/>
  <c r="H25" i="211" s="1"/>
  <c r="AD69" i="209"/>
  <c r="H37" i="211" s="1"/>
  <c r="AD101" i="209"/>
  <c r="H53" i="211" s="1"/>
  <c r="AD105" i="209"/>
  <c r="AD133" i="209"/>
  <c r="H69" i="211" s="1"/>
  <c r="AD165" i="209"/>
  <c r="H85" i="211" s="1"/>
  <c r="AD170" i="209"/>
  <c r="AD204" i="209"/>
  <c r="H108" i="211" s="1"/>
  <c r="AD231" i="209"/>
  <c r="H119" i="211" s="1"/>
  <c r="AD260" i="209"/>
  <c r="H132" i="211" s="1"/>
  <c r="AA142" i="209"/>
  <c r="J78" i="211" s="1"/>
  <c r="AC135" i="209"/>
  <c r="G71" i="211" s="1"/>
  <c r="AC133" i="209"/>
  <c r="G69" i="211" s="1"/>
  <c r="AA140" i="209"/>
  <c r="J76" i="211" s="1"/>
  <c r="C179" i="209"/>
  <c r="B179" i="209" s="1"/>
  <c r="C180" i="209"/>
  <c r="B180" i="209" s="1"/>
  <c r="C178" i="209"/>
  <c r="B178" i="209" s="1"/>
  <c r="Y263" i="209"/>
  <c r="D135" i="211" s="1"/>
  <c r="AD82" i="209"/>
  <c r="H50" i="211" s="1"/>
  <c r="J109" i="211"/>
  <c r="AD232" i="209"/>
  <c r="H120" i="211" s="1"/>
  <c r="AD261" i="209"/>
  <c r="H133" i="211" s="1"/>
  <c r="AC6" i="209"/>
  <c r="G6" i="211" s="1"/>
  <c r="D153" i="209"/>
  <c r="AD141" i="209"/>
  <c r="H77" i="211" s="1"/>
  <c r="AD137" i="209"/>
  <c r="H73" i="211" s="1"/>
  <c r="AD145" i="209"/>
  <c r="H81" i="211" s="1"/>
  <c r="C212" i="209"/>
  <c r="B212" i="209" s="1"/>
  <c r="D212" i="209" s="1"/>
  <c r="C209" i="209"/>
  <c r="B209" i="209" s="1"/>
  <c r="D209" i="209" s="1"/>
  <c r="C210" i="209"/>
  <c r="B210" i="209" s="1"/>
  <c r="D210" i="209" s="1"/>
  <c r="C211" i="209"/>
  <c r="B211" i="209" s="1"/>
  <c r="D211" i="209" s="1"/>
  <c r="AC294" i="209"/>
  <c r="G150" i="211" s="1"/>
  <c r="AC292" i="209"/>
  <c r="G148" i="211" s="1"/>
  <c r="D314" i="209"/>
  <c r="AA305" i="209" s="1"/>
  <c r="J161" i="211" s="1"/>
  <c r="B299" i="209"/>
  <c r="AD42" i="209"/>
  <c r="AD74" i="209"/>
  <c r="H42" i="211" s="1"/>
  <c r="AD106" i="209"/>
  <c r="AD138" i="209"/>
  <c r="B172" i="209"/>
  <c r="AD197" i="209"/>
  <c r="H101" i="211" s="1"/>
  <c r="AD206" i="209"/>
  <c r="H110" i="211" s="1"/>
  <c r="AC70" i="209"/>
  <c r="G38" i="211" s="1"/>
  <c r="AC68" i="209"/>
  <c r="G36" i="211" s="1"/>
  <c r="B75" i="209"/>
  <c r="AC166" i="209"/>
  <c r="G86" i="211" s="1"/>
  <c r="AC164" i="209"/>
  <c r="G84" i="211" s="1"/>
  <c r="D186" i="209"/>
  <c r="AA177" i="209" s="1"/>
  <c r="J97" i="211" s="1"/>
  <c r="B171" i="209"/>
  <c r="AC262" i="209"/>
  <c r="G134" i="211" s="1"/>
  <c r="AC260" i="209"/>
  <c r="G132" i="211" s="1"/>
  <c r="D282" i="209"/>
  <c r="AA273" i="209" s="1"/>
  <c r="J145" i="211" s="1"/>
  <c r="B267" i="209"/>
  <c r="AA300" i="209"/>
  <c r="J156" i="211" s="1"/>
  <c r="B300" i="209"/>
  <c r="AA302" i="209"/>
  <c r="J158" i="211" s="1"/>
  <c r="AC295" i="209"/>
  <c r="G151" i="211" s="1"/>
  <c r="AC293" i="209"/>
  <c r="G149" i="211" s="1"/>
  <c r="D26" i="209"/>
  <c r="AA17" i="209" s="1"/>
  <c r="J17" i="211" s="1"/>
  <c r="AD38" i="209"/>
  <c r="H22" i="211" s="1"/>
  <c r="C49" i="209"/>
  <c r="B49" i="209" s="1"/>
  <c r="D49" i="209" s="1"/>
  <c r="D90" i="209"/>
  <c r="AA81" i="209" s="1"/>
  <c r="J49" i="211" s="1"/>
  <c r="AD102" i="209"/>
  <c r="H54" i="211" s="1"/>
  <c r="C113" i="209"/>
  <c r="B113" i="209" s="1"/>
  <c r="D154" i="209"/>
  <c r="AA145" i="209" s="1"/>
  <c r="J81" i="211" s="1"/>
  <c r="AD166" i="209"/>
  <c r="H86" i="211" s="1"/>
  <c r="AD234" i="209"/>
  <c r="AD262" i="209"/>
  <c r="H134" i="211" s="1"/>
  <c r="AA78" i="209"/>
  <c r="J46" i="211" s="1"/>
  <c r="AC71" i="209"/>
  <c r="G39" i="211" s="1"/>
  <c r="AC69" i="209"/>
  <c r="G37" i="211" s="1"/>
  <c r="AA76" i="209"/>
  <c r="J44" i="211" s="1"/>
  <c r="AA172" i="209"/>
  <c r="J92" i="211" s="1"/>
  <c r="AA174" i="209"/>
  <c r="J94" i="211" s="1"/>
  <c r="AC167" i="209"/>
  <c r="G87" i="211" s="1"/>
  <c r="AC165" i="209"/>
  <c r="G85" i="211" s="1"/>
  <c r="AC198" i="209"/>
  <c r="G102" i="211" s="1"/>
  <c r="AC196" i="209"/>
  <c r="G100" i="211" s="1"/>
  <c r="D218" i="209"/>
  <c r="AA209" i="209" s="1"/>
  <c r="J113" i="211" s="1"/>
  <c r="B203" i="209"/>
  <c r="AC230" i="209"/>
  <c r="G118" i="211" s="1"/>
  <c r="AC228" i="209"/>
  <c r="G116" i="211" s="1"/>
  <c r="D250" i="209"/>
  <c r="AA241" i="209" s="1"/>
  <c r="J129" i="211" s="1"/>
  <c r="B235" i="209"/>
  <c r="AA270" i="209"/>
  <c r="J142" i="211" s="1"/>
  <c r="AC263" i="209"/>
  <c r="G135" i="211" s="1"/>
  <c r="AC261" i="209"/>
  <c r="G133" i="211" s="1"/>
  <c r="J141" i="211"/>
  <c r="AA268" i="209"/>
  <c r="J140" i="211" s="1"/>
  <c r="B268" i="209"/>
  <c r="AD300" i="209"/>
  <c r="H156" i="211" s="1"/>
  <c r="AD296" i="209"/>
  <c r="H152" i="211" s="1"/>
  <c r="AD294" i="209"/>
  <c r="H150" i="211" s="1"/>
  <c r="AD292" i="209"/>
  <c r="H148" i="211" s="1"/>
  <c r="AD305" i="209"/>
  <c r="H161" i="211" s="1"/>
  <c r="AA296" i="209"/>
  <c r="J152" i="211" s="1"/>
  <c r="AD306" i="209"/>
  <c r="H162" i="211" s="1"/>
  <c r="AD299" i="209"/>
  <c r="D313" i="209"/>
  <c r="AD301" i="209"/>
  <c r="H157" i="211" s="1"/>
  <c r="AD297" i="209"/>
  <c r="B44" i="209"/>
  <c r="AD70" i="209"/>
  <c r="H38" i="211" s="1"/>
  <c r="B108" i="209"/>
  <c r="AD134" i="209"/>
  <c r="H70" i="211" s="1"/>
  <c r="AD139" i="209"/>
  <c r="J93" i="211"/>
  <c r="AD198" i="209"/>
  <c r="H102" i="211" s="1"/>
  <c r="AD236" i="209"/>
  <c r="H124" i="211" s="1"/>
  <c r="AD295" i="209"/>
  <c r="H151" i="211" s="1"/>
  <c r="F307" i="209"/>
  <c r="AC4" i="209"/>
  <c r="G4" i="211" s="1"/>
  <c r="D89" i="209"/>
  <c r="AD77" i="209"/>
  <c r="H45" i="211" s="1"/>
  <c r="AD73" i="209"/>
  <c r="H41" i="211" s="1"/>
  <c r="AD81" i="209"/>
  <c r="H49" i="211" s="1"/>
  <c r="AD177" i="209"/>
  <c r="H97" i="211" s="1"/>
  <c r="AD178" i="209"/>
  <c r="H98" i="211" s="1"/>
  <c r="AD171" i="209"/>
  <c r="D185" i="209"/>
  <c r="AA206" i="209"/>
  <c r="J110" i="211" s="1"/>
  <c r="AC199" i="209"/>
  <c r="G103" i="211" s="1"/>
  <c r="AC197" i="209"/>
  <c r="G101" i="211" s="1"/>
  <c r="AA204" i="209"/>
  <c r="J108" i="211" s="1"/>
  <c r="B204" i="209"/>
  <c r="AA236" i="209"/>
  <c r="J124" i="211" s="1"/>
  <c r="B236" i="209"/>
  <c r="AA238" i="209"/>
  <c r="J126" i="211" s="1"/>
  <c r="AC231" i="209"/>
  <c r="G119" i="211" s="1"/>
  <c r="AC229" i="209"/>
  <c r="G117" i="211" s="1"/>
  <c r="D281" i="209"/>
  <c r="AD269" i="209"/>
  <c r="H141" i="211" s="1"/>
  <c r="AD265" i="209"/>
  <c r="AD273" i="209"/>
  <c r="H145" i="211" s="1"/>
  <c r="AA264" i="209"/>
  <c r="J136" i="211" s="1"/>
  <c r="AD274" i="209"/>
  <c r="H146" i="211" s="1"/>
  <c r="AD267" i="209"/>
  <c r="AD44" i="209"/>
  <c r="H28" i="211" s="1"/>
  <c r="B76" i="209"/>
  <c r="AD108" i="209"/>
  <c r="H60" i="211" s="1"/>
  <c r="B140" i="209"/>
  <c r="AD173" i="209"/>
  <c r="H93" i="211" s="1"/>
  <c r="F243" i="209"/>
  <c r="C242" i="209"/>
  <c r="B242" i="209" s="1"/>
  <c r="D242" i="209" s="1"/>
  <c r="C306" i="209"/>
  <c r="B306" i="209" s="1"/>
  <c r="D306" i="209" s="1"/>
  <c r="C241" i="209"/>
  <c r="B241" i="209" s="1"/>
  <c r="C305" i="209"/>
  <c r="B305" i="209" s="1"/>
  <c r="D305" i="209" s="1"/>
  <c r="C83" i="209"/>
  <c r="B83" i="209" s="1"/>
  <c r="C244" i="209"/>
  <c r="B244" i="209" s="1"/>
  <c r="D244" i="209" s="1"/>
  <c r="C275" i="209"/>
  <c r="B275" i="209" s="1"/>
  <c r="D275" i="209" s="1"/>
  <c r="C308" i="209"/>
  <c r="B308" i="209" s="1"/>
  <c r="D308" i="209" s="1"/>
  <c r="C82" i="209"/>
  <c r="B82" i="209" s="1"/>
  <c r="C274" i="209"/>
  <c r="B274" i="209" s="1"/>
  <c r="D274" i="209" s="1"/>
  <c r="C81" i="209"/>
  <c r="B81" i="209" s="1"/>
  <c r="C273" i="209"/>
  <c r="B273" i="209" s="1"/>
  <c r="D273" i="209" s="1"/>
  <c r="D241" i="209" l="1"/>
  <c r="D19" i="209"/>
  <c r="D113" i="209"/>
  <c r="D18" i="209"/>
  <c r="D17" i="209"/>
  <c r="D20" i="209"/>
  <c r="D114" i="209"/>
  <c r="D116" i="209"/>
  <c r="D115" i="209"/>
  <c r="F17" i="209"/>
  <c r="AA4" i="209" s="1"/>
  <c r="J4" i="211" s="1"/>
  <c r="B64" i="200"/>
  <c r="O64" i="200"/>
  <c r="B58" i="200"/>
  <c r="O58" i="200"/>
  <c r="B49" i="200"/>
  <c r="O49" i="200"/>
  <c r="AA80" i="209"/>
  <c r="G46" i="200"/>
  <c r="AA18" i="209"/>
  <c r="J18" i="211" s="1"/>
  <c r="G41" i="200"/>
  <c r="AA16" i="209"/>
  <c r="AD16" i="209" s="1"/>
  <c r="H16" i="211" s="1"/>
  <c r="G40" i="200"/>
  <c r="B67" i="200"/>
  <c r="O67" i="200"/>
  <c r="B61" i="200"/>
  <c r="O61" i="200"/>
  <c r="AA304" i="209"/>
  <c r="G67" i="200"/>
  <c r="AA48" i="209"/>
  <c r="J32" i="211" s="1"/>
  <c r="G43" i="200"/>
  <c r="AA208" i="209"/>
  <c r="J112" i="211" s="1"/>
  <c r="G58" i="200"/>
  <c r="AA266" i="209"/>
  <c r="J138" i="211" s="1"/>
  <c r="AA240" i="209"/>
  <c r="AD240" i="209" s="1"/>
  <c r="H128" i="211" s="1"/>
  <c r="G61" i="200"/>
  <c r="B40" i="200"/>
  <c r="O40" i="200"/>
  <c r="B52" i="200"/>
  <c r="O52" i="200"/>
  <c r="AA176" i="209"/>
  <c r="G55" i="200"/>
  <c r="AA272" i="209"/>
  <c r="AD272" i="209" s="1"/>
  <c r="H144" i="211" s="1"/>
  <c r="G64" i="200"/>
  <c r="AA178" i="209"/>
  <c r="J98" i="211" s="1"/>
  <c r="G56" i="200"/>
  <c r="B43" i="200"/>
  <c r="O43" i="200"/>
  <c r="B55" i="200"/>
  <c r="O55" i="200"/>
  <c r="B46" i="200"/>
  <c r="O46" i="200"/>
  <c r="AA144" i="209"/>
  <c r="G52" i="200"/>
  <c r="AA112" i="209"/>
  <c r="AD112" i="209" s="1"/>
  <c r="H64" i="211" s="1"/>
  <c r="G49" i="200"/>
  <c r="AA230" i="209"/>
  <c r="J118" i="211" s="1"/>
  <c r="AA263" i="209"/>
  <c r="J135" i="211" s="1"/>
  <c r="AA164" i="209"/>
  <c r="J84" i="211" s="1"/>
  <c r="AA294" i="209"/>
  <c r="J150" i="211" s="1"/>
  <c r="AA71" i="209"/>
  <c r="J39" i="211" s="1"/>
  <c r="AA202" i="209"/>
  <c r="J106" i="211" s="1"/>
  <c r="D243" i="209"/>
  <c r="Z230" i="209" s="1"/>
  <c r="F118" i="211" s="1"/>
  <c r="F147" i="209"/>
  <c r="AA9" i="209"/>
  <c r="J9" i="211" s="1"/>
  <c r="AA74" i="209"/>
  <c r="J42" i="211" s="1"/>
  <c r="B170" i="209"/>
  <c r="B54" i="200"/>
  <c r="AA10" i="209"/>
  <c r="J10" i="211" s="1"/>
  <c r="AA298" i="209"/>
  <c r="J154" i="211" s="1"/>
  <c r="AA233" i="209"/>
  <c r="J121" i="211" s="1"/>
  <c r="D180" i="209"/>
  <c r="D179" i="209"/>
  <c r="D177" i="209"/>
  <c r="E177" i="209" s="1"/>
  <c r="G177" i="209" s="1"/>
  <c r="D178" i="209"/>
  <c r="D146" i="209"/>
  <c r="D145" i="209"/>
  <c r="D148" i="209"/>
  <c r="D147" i="209"/>
  <c r="D84" i="209"/>
  <c r="Z71" i="209" s="1"/>
  <c r="F39" i="211" s="1"/>
  <c r="D81" i="209"/>
  <c r="D83" i="209"/>
  <c r="D82" i="209"/>
  <c r="AA41" i="209"/>
  <c r="J25" i="211" s="1"/>
  <c r="Z232" i="209"/>
  <c r="F120" i="211" s="1"/>
  <c r="B57" i="200"/>
  <c r="D207" i="209"/>
  <c r="B207" i="209" s="1"/>
  <c r="B60" i="200"/>
  <c r="Z200" i="209"/>
  <c r="F104" i="211" s="1"/>
  <c r="B202" i="209"/>
  <c r="B234" i="209"/>
  <c r="D239" i="209"/>
  <c r="B239" i="209" s="1"/>
  <c r="F49" i="209"/>
  <c r="F178" i="209"/>
  <c r="F115" i="209"/>
  <c r="F210" i="209"/>
  <c r="B106" i="209"/>
  <c r="F51" i="209"/>
  <c r="B48" i="200"/>
  <c r="F145" i="209"/>
  <c r="F308" i="209"/>
  <c r="P84" i="211"/>
  <c r="D175" i="209"/>
  <c r="B175" i="209" s="1"/>
  <c r="AD176" i="209"/>
  <c r="H96" i="211" s="1"/>
  <c r="J96" i="211"/>
  <c r="AA171" i="209"/>
  <c r="J91" i="211" s="1"/>
  <c r="H91" i="211"/>
  <c r="F50" i="209"/>
  <c r="F275" i="209"/>
  <c r="AA235" i="209"/>
  <c r="J123" i="211" s="1"/>
  <c r="H123" i="211"/>
  <c r="AD304" i="209"/>
  <c r="H160" i="211" s="1"/>
  <c r="J160" i="211"/>
  <c r="AD144" i="209"/>
  <c r="H80" i="211" s="1"/>
  <c r="J80" i="211"/>
  <c r="AA170" i="209"/>
  <c r="J90" i="211" s="1"/>
  <c r="H90" i="211"/>
  <c r="AD48" i="209"/>
  <c r="H32" i="211" s="1"/>
  <c r="AA73" i="209"/>
  <c r="J41" i="211" s="1"/>
  <c r="Z104" i="209"/>
  <c r="F56" i="211" s="1"/>
  <c r="P52" i="211"/>
  <c r="AA105" i="209"/>
  <c r="J57" i="211" s="1"/>
  <c r="H57" i="211"/>
  <c r="AA106" i="209"/>
  <c r="J58" i="211" s="1"/>
  <c r="H58" i="211"/>
  <c r="AA297" i="209"/>
  <c r="J153" i="211" s="1"/>
  <c r="H153" i="211"/>
  <c r="AA234" i="209"/>
  <c r="J122" i="211" s="1"/>
  <c r="H122" i="211"/>
  <c r="F306" i="209"/>
  <c r="AA299" i="209"/>
  <c r="J155" i="211" s="1"/>
  <c r="H155" i="211"/>
  <c r="AA43" i="209"/>
  <c r="J27" i="211" s="1"/>
  <c r="H27" i="211"/>
  <c r="AA107" i="209"/>
  <c r="J59" i="211" s="1"/>
  <c r="H59" i="211"/>
  <c r="AA267" i="209"/>
  <c r="J139" i="211" s="1"/>
  <c r="H139" i="211"/>
  <c r="AA139" i="209"/>
  <c r="J75" i="211" s="1"/>
  <c r="H75" i="211"/>
  <c r="AA137" i="209"/>
  <c r="J73" i="211" s="1"/>
  <c r="AA203" i="209"/>
  <c r="J107" i="211" s="1"/>
  <c r="H107" i="211"/>
  <c r="AA11" i="209"/>
  <c r="J11" i="211" s="1"/>
  <c r="H11" i="211"/>
  <c r="AD80" i="209"/>
  <c r="H48" i="211" s="1"/>
  <c r="J48" i="211"/>
  <c r="AA169" i="209"/>
  <c r="J89" i="211" s="1"/>
  <c r="H89" i="211"/>
  <c r="AA201" i="209"/>
  <c r="J105" i="211" s="1"/>
  <c r="H105" i="211"/>
  <c r="AA138" i="209"/>
  <c r="J74" i="211" s="1"/>
  <c r="H74" i="211"/>
  <c r="F114" i="209"/>
  <c r="AA265" i="209"/>
  <c r="J137" i="211" s="1"/>
  <c r="H137" i="211"/>
  <c r="AA42" i="209"/>
  <c r="J26" i="211" s="1"/>
  <c r="H26" i="211"/>
  <c r="Y292" i="209"/>
  <c r="D148" i="211" s="1"/>
  <c r="Y228" i="209"/>
  <c r="D116" i="211" s="1"/>
  <c r="F244" i="209"/>
  <c r="F19" i="209"/>
  <c r="Z209" i="209"/>
  <c r="Z273" i="209"/>
  <c r="Y165" i="209"/>
  <c r="D85" i="211" s="1"/>
  <c r="F52" i="209"/>
  <c r="Y134" i="209"/>
  <c r="D70" i="211" s="1"/>
  <c r="AB8" i="209"/>
  <c r="I8" i="211" s="1"/>
  <c r="B13" i="209"/>
  <c r="Y5" i="209"/>
  <c r="D5" i="211" s="1"/>
  <c r="Z18" i="209"/>
  <c r="Z48" i="209"/>
  <c r="Y70" i="209"/>
  <c r="D38" i="211" s="1"/>
  <c r="Z296" i="209"/>
  <c r="F152" i="211" s="1"/>
  <c r="D303" i="209"/>
  <c r="B303" i="209" s="1"/>
  <c r="B298" i="209"/>
  <c r="B205" i="209"/>
  <c r="AB200" i="209"/>
  <c r="I104" i="211" s="1"/>
  <c r="Z274" i="209"/>
  <c r="Y167" i="209"/>
  <c r="D87" i="211" s="1"/>
  <c r="B66" i="200"/>
  <c r="Y38" i="209"/>
  <c r="D22" i="211" s="1"/>
  <c r="Y133" i="209"/>
  <c r="D69" i="211" s="1"/>
  <c r="Y4" i="209"/>
  <c r="D4" i="211" s="1"/>
  <c r="Z16" i="209"/>
  <c r="Z49" i="209"/>
  <c r="Z81" i="209"/>
  <c r="D143" i="209"/>
  <c r="B143" i="209" s="1"/>
  <c r="Z136" i="209"/>
  <c r="F72" i="211" s="1"/>
  <c r="Y293" i="209"/>
  <c r="D149" i="211" s="1"/>
  <c r="Z208" i="209"/>
  <c r="Z272" i="209"/>
  <c r="Y166" i="209"/>
  <c r="D86" i="211" s="1"/>
  <c r="Y132" i="209"/>
  <c r="D68" i="211" s="1"/>
  <c r="F20" i="209"/>
  <c r="Z50" i="209"/>
  <c r="Z82" i="209"/>
  <c r="Y229" i="209"/>
  <c r="D117" i="211" s="1"/>
  <c r="Y260" i="209"/>
  <c r="D132" i="211" s="1"/>
  <c r="Y198" i="209"/>
  <c r="D102" i="211" s="1"/>
  <c r="F241" i="209"/>
  <c r="B265" i="209"/>
  <c r="P132" i="211" s="1"/>
  <c r="B63" i="200"/>
  <c r="F148" i="209"/>
  <c r="Z80" i="209"/>
  <c r="Z241" i="209"/>
  <c r="Y37" i="209"/>
  <c r="D21" i="211" s="1"/>
  <c r="Y100" i="209"/>
  <c r="D52" i="211" s="1"/>
  <c r="Y68" i="209"/>
  <c r="D36" i="211" s="1"/>
  <c r="F274" i="209"/>
  <c r="F273" i="209"/>
  <c r="Y36" i="209"/>
  <c r="D20" i="211" s="1"/>
  <c r="AB168" i="209"/>
  <c r="I88" i="211" s="1"/>
  <c r="B173" i="209"/>
  <c r="Y197" i="209"/>
  <c r="D101" i="211" s="1"/>
  <c r="B141" i="209"/>
  <c r="AB136" i="209"/>
  <c r="I72" i="211" s="1"/>
  <c r="B74" i="209"/>
  <c r="D79" i="209"/>
  <c r="B79" i="209" s="1"/>
  <c r="Z72" i="209"/>
  <c r="F40" i="211" s="1"/>
  <c r="Y101" i="209"/>
  <c r="D53" i="211" s="1"/>
  <c r="Z8" i="209"/>
  <c r="F8" i="211" s="1"/>
  <c r="D15" i="209"/>
  <c r="B15" i="209" s="1"/>
  <c r="F180" i="209"/>
  <c r="Z242" i="209"/>
  <c r="Z210" i="209"/>
  <c r="B269" i="209"/>
  <c r="AB264" i="209"/>
  <c r="I136" i="211" s="1"/>
  <c r="Y261" i="209"/>
  <c r="D133" i="211" s="1"/>
  <c r="F211" i="209"/>
  <c r="F209" i="209"/>
  <c r="Z304" i="209"/>
  <c r="F179" i="209"/>
  <c r="F116" i="209"/>
  <c r="F305" i="209"/>
  <c r="F146" i="209"/>
  <c r="Z17" i="209"/>
  <c r="Y69" i="209"/>
  <c r="D37" i="211" s="1"/>
  <c r="Y199" i="209"/>
  <c r="D103" i="211" s="1"/>
  <c r="Z305" i="209"/>
  <c r="AB104" i="209"/>
  <c r="I56" i="211" s="1"/>
  <c r="B109" i="209"/>
  <c r="Y102" i="209"/>
  <c r="D54" i="211" s="1"/>
  <c r="Z145" i="209"/>
  <c r="F82" i="209"/>
  <c r="B45" i="200"/>
  <c r="AB40" i="209"/>
  <c r="I24" i="211" s="1"/>
  <c r="B45" i="209"/>
  <c r="Y295" i="209"/>
  <c r="D151" i="211" s="1"/>
  <c r="F83" i="209"/>
  <c r="Z306" i="209"/>
  <c r="B41" i="209"/>
  <c r="P20" i="211" s="1"/>
  <c r="B42" i="200"/>
  <c r="Z146" i="209"/>
  <c r="Z112" i="209"/>
  <c r="C121" i="209"/>
  <c r="Y262" i="209"/>
  <c r="D134" i="211" s="1"/>
  <c r="F113" i="209"/>
  <c r="F242" i="209"/>
  <c r="F81" i="209"/>
  <c r="Z176" i="209"/>
  <c r="B77" i="209"/>
  <c r="AB72" i="209"/>
  <c r="I40" i="211" s="1"/>
  <c r="AB296" i="209"/>
  <c r="I152" i="211" s="1"/>
  <c r="B301" i="209"/>
  <c r="Z294" i="209"/>
  <c r="F150" i="211" s="1"/>
  <c r="E307" i="209"/>
  <c r="G307" i="209" s="1"/>
  <c r="Z144" i="209"/>
  <c r="Z113" i="209"/>
  <c r="C122" i="209"/>
  <c r="E122" i="209" s="1"/>
  <c r="F212" i="209"/>
  <c r="Z178" i="209"/>
  <c r="Y6" i="209"/>
  <c r="D6" i="211" s="1"/>
  <c r="Y231" i="209"/>
  <c r="D119" i="211" s="1"/>
  <c r="AB232" i="209"/>
  <c r="I120" i="211" s="1"/>
  <c r="B237" i="209"/>
  <c r="Z177" i="209"/>
  <c r="Z240" i="209"/>
  <c r="Z263" i="209"/>
  <c r="F135" i="211" s="1"/>
  <c r="E276" i="209"/>
  <c r="G276" i="209" s="1"/>
  <c r="B51" i="200"/>
  <c r="Z114" i="209"/>
  <c r="C120" i="209"/>
  <c r="F18" i="209"/>
  <c r="J144" i="211" l="1"/>
  <c r="J64" i="211"/>
  <c r="AD208" i="209"/>
  <c r="H112" i="211" s="1"/>
  <c r="F97" i="211"/>
  <c r="Y177" i="209"/>
  <c r="F48" i="211"/>
  <c r="Y80" i="209"/>
  <c r="F32" i="211"/>
  <c r="Y48" i="209"/>
  <c r="F128" i="211"/>
  <c r="Y240" i="209"/>
  <c r="F82" i="211"/>
  <c r="Y146" i="209"/>
  <c r="F129" i="211"/>
  <c r="Y241" i="209"/>
  <c r="F161" i="211"/>
  <c r="Y305" i="209"/>
  <c r="F112" i="211"/>
  <c r="Y208" i="209"/>
  <c r="F114" i="211"/>
  <c r="Y210" i="209"/>
  <c r="F144" i="211"/>
  <c r="Y272" i="209"/>
  <c r="F162" i="211"/>
  <c r="Y306" i="209"/>
  <c r="F146" i="211"/>
  <c r="Y274" i="209"/>
  <c r="F96" i="211"/>
  <c r="Y176" i="209"/>
  <c r="F17" i="211"/>
  <c r="Y17" i="209"/>
  <c r="F130" i="211"/>
  <c r="Y242" i="209"/>
  <c r="F49" i="211"/>
  <c r="Y81" i="209"/>
  <c r="F113" i="211"/>
  <c r="Y209" i="209"/>
  <c r="F98" i="211"/>
  <c r="Y178" i="209"/>
  <c r="F66" i="211"/>
  <c r="Y114" i="209"/>
  <c r="F33" i="211"/>
  <c r="Y49" i="209"/>
  <c r="F65" i="211"/>
  <c r="Y113" i="209"/>
  <c r="F50" i="211"/>
  <c r="Y82" i="209"/>
  <c r="F145" i="211"/>
  <c r="Y273" i="209"/>
  <c r="F80" i="211"/>
  <c r="Y144" i="209"/>
  <c r="F81" i="211"/>
  <c r="Y145" i="209"/>
  <c r="F160" i="211"/>
  <c r="Y304" i="209"/>
  <c r="F34" i="211"/>
  <c r="Y50" i="209"/>
  <c r="F64" i="211"/>
  <c r="Y112" i="209"/>
  <c r="F18" i="211"/>
  <c r="Y18" i="209"/>
  <c r="F16" i="211"/>
  <c r="Y16" i="209"/>
  <c r="J16" i="211"/>
  <c r="E120" i="209"/>
  <c r="H50" i="200" s="1"/>
  <c r="J50" i="200" s="1"/>
  <c r="F50" i="200"/>
  <c r="J128" i="211"/>
  <c r="E121" i="209"/>
  <c r="H49" i="200" s="1"/>
  <c r="J49" i="200" s="1"/>
  <c r="F49" i="200"/>
  <c r="E243" i="209"/>
  <c r="G243" i="209" s="1"/>
  <c r="AA198" i="209"/>
  <c r="J102" i="211" s="1"/>
  <c r="AA197" i="209"/>
  <c r="J101" i="211" s="1"/>
  <c r="AA135" i="209"/>
  <c r="J71" i="211" s="1"/>
  <c r="AA102" i="209"/>
  <c r="J54" i="211" s="1"/>
  <c r="AA68" i="209"/>
  <c r="J36" i="211" s="1"/>
  <c r="AA165" i="209"/>
  <c r="J85" i="211" s="1"/>
  <c r="AA5" i="209"/>
  <c r="J5" i="211" s="1"/>
  <c r="AA70" i="209"/>
  <c r="J38" i="211" s="1"/>
  <c r="AA39" i="209"/>
  <c r="J23" i="211" s="1"/>
  <c r="AA36" i="209"/>
  <c r="J20" i="211" s="1"/>
  <c r="AA228" i="209"/>
  <c r="J116" i="211" s="1"/>
  <c r="AA101" i="209"/>
  <c r="J53" i="211" s="1"/>
  <c r="AA293" i="209"/>
  <c r="J149" i="211" s="1"/>
  <c r="AA260" i="209"/>
  <c r="J132" i="211" s="1"/>
  <c r="AA199" i="209"/>
  <c r="J103" i="211" s="1"/>
  <c r="AA229" i="209"/>
  <c r="J117" i="211" s="1"/>
  <c r="AA292" i="209"/>
  <c r="J148" i="211" s="1"/>
  <c r="AA100" i="209"/>
  <c r="J52" i="211" s="1"/>
  <c r="AA103" i="209"/>
  <c r="J55" i="211" s="1"/>
  <c r="AA261" i="209"/>
  <c r="J133" i="211" s="1"/>
  <c r="AA6" i="209"/>
  <c r="J6" i="211" s="1"/>
  <c r="AA262" i="209"/>
  <c r="J134" i="211" s="1"/>
  <c r="AA295" i="209"/>
  <c r="J151" i="211" s="1"/>
  <c r="AA69" i="209"/>
  <c r="J37" i="211" s="1"/>
  <c r="AA166" i="209"/>
  <c r="J86" i="211" s="1"/>
  <c r="AA231" i="209"/>
  <c r="J119" i="211" s="1"/>
  <c r="AA132" i="209"/>
  <c r="J68" i="211" s="1"/>
  <c r="AA134" i="209"/>
  <c r="J70" i="211" s="1"/>
  <c r="AA167" i="209"/>
  <c r="J87" i="211" s="1"/>
  <c r="AA133" i="209"/>
  <c r="J69" i="211" s="1"/>
  <c r="AA196" i="209"/>
  <c r="J100" i="211" s="1"/>
  <c r="AA7" i="209"/>
  <c r="J7" i="211" s="1"/>
  <c r="AA37" i="209"/>
  <c r="J21" i="211" s="1"/>
  <c r="AA38" i="209"/>
  <c r="J22" i="211" s="1"/>
  <c r="B174" i="209"/>
  <c r="Z164" i="209"/>
  <c r="F84" i="211" s="1"/>
  <c r="E84" i="209"/>
  <c r="G84" i="209" s="1"/>
  <c r="B110" i="209"/>
  <c r="B206" i="209"/>
  <c r="B238" i="209"/>
  <c r="Z102" i="209"/>
  <c r="F54" i="211" s="1"/>
  <c r="E115" i="209"/>
  <c r="G115" i="209" s="1"/>
  <c r="Y103" i="209"/>
  <c r="D55" i="211" s="1"/>
  <c r="B78" i="209"/>
  <c r="E81" i="209"/>
  <c r="G81" i="209" s="1"/>
  <c r="Z68" i="209"/>
  <c r="F36" i="211" s="1"/>
  <c r="B266" i="209"/>
  <c r="B270" i="209" s="1"/>
  <c r="Z264" i="209"/>
  <c r="F136" i="211" s="1"/>
  <c r="D271" i="209"/>
  <c r="B271" i="209" s="1"/>
  <c r="E17" i="209"/>
  <c r="G17" i="209" s="1"/>
  <c r="Z4" i="209"/>
  <c r="F4" i="211" s="1"/>
  <c r="E18" i="209"/>
  <c r="G18" i="209" s="1"/>
  <c r="Z5" i="209"/>
  <c r="F5" i="211" s="1"/>
  <c r="E306" i="209"/>
  <c r="G306" i="209" s="1"/>
  <c r="Z293" i="209"/>
  <c r="F149" i="211" s="1"/>
  <c r="E146" i="209"/>
  <c r="G146" i="209" s="1"/>
  <c r="Z133" i="209"/>
  <c r="F69" i="211" s="1"/>
  <c r="B302" i="209"/>
  <c r="Y135" i="209"/>
  <c r="D71" i="211" s="1"/>
  <c r="Z100" i="209"/>
  <c r="F52" i="211" s="1"/>
  <c r="E113" i="209"/>
  <c r="G113" i="209" s="1"/>
  <c r="Y7" i="209"/>
  <c r="D7" i="211" s="1"/>
  <c r="E275" i="209"/>
  <c r="G275" i="209" s="1"/>
  <c r="Z262" i="209"/>
  <c r="F134" i="211" s="1"/>
  <c r="E308" i="209"/>
  <c r="G308" i="209" s="1"/>
  <c r="Z295" i="209"/>
  <c r="F151" i="211" s="1"/>
  <c r="E211" i="209"/>
  <c r="G211" i="209" s="1"/>
  <c r="Z198" i="209"/>
  <c r="F102" i="211" s="1"/>
  <c r="Z199" i="209"/>
  <c r="F103" i="211" s="1"/>
  <c r="E212" i="209"/>
  <c r="G212" i="209" s="1"/>
  <c r="E210" i="209"/>
  <c r="G210" i="209" s="1"/>
  <c r="Z197" i="209"/>
  <c r="F101" i="211" s="1"/>
  <c r="E50" i="209"/>
  <c r="G50" i="209" s="1"/>
  <c r="Z37" i="209"/>
  <c r="F21" i="211" s="1"/>
  <c r="E145" i="209"/>
  <c r="G145" i="209" s="1"/>
  <c r="Z132" i="209"/>
  <c r="F68" i="211" s="1"/>
  <c r="Z38" i="209"/>
  <c r="F22" i="211" s="1"/>
  <c r="E51" i="209"/>
  <c r="G51" i="209" s="1"/>
  <c r="Z228" i="209"/>
  <c r="F116" i="211" s="1"/>
  <c r="E241" i="209"/>
  <c r="G241" i="209" s="1"/>
  <c r="E244" i="209"/>
  <c r="G244" i="209" s="1"/>
  <c r="Z231" i="209"/>
  <c r="F119" i="211" s="1"/>
  <c r="E147" i="209"/>
  <c r="G147" i="209" s="1"/>
  <c r="Z134" i="209"/>
  <c r="F70" i="211" s="1"/>
  <c r="E82" i="209"/>
  <c r="G82" i="209" s="1"/>
  <c r="Z69" i="209"/>
  <c r="F37" i="211" s="1"/>
  <c r="E273" i="209"/>
  <c r="G273" i="209" s="1"/>
  <c r="Z260" i="209"/>
  <c r="F132" i="211" s="1"/>
  <c r="Z166" i="209"/>
  <c r="F86" i="211" s="1"/>
  <c r="E179" i="209"/>
  <c r="G179" i="209" s="1"/>
  <c r="Y39" i="209"/>
  <c r="D23" i="211" s="1"/>
  <c r="Z40" i="209"/>
  <c r="F24" i="211" s="1"/>
  <c r="B42" i="209"/>
  <c r="B46" i="209" s="1"/>
  <c r="D47" i="209"/>
  <c r="B47" i="209" s="1"/>
  <c r="Y196" i="209"/>
  <c r="D100" i="211" s="1"/>
  <c r="E180" i="209"/>
  <c r="G180" i="209" s="1"/>
  <c r="Z167" i="209"/>
  <c r="F87" i="211" s="1"/>
  <c r="E83" i="209"/>
  <c r="G83" i="209" s="1"/>
  <c r="Z70" i="209"/>
  <c r="F38" i="211" s="1"/>
  <c r="Z6" i="209"/>
  <c r="F6" i="211" s="1"/>
  <c r="E19" i="209"/>
  <c r="G19" i="209" s="1"/>
  <c r="Z36" i="209"/>
  <c r="F20" i="211" s="1"/>
  <c r="E49" i="209"/>
  <c r="G49" i="209" s="1"/>
  <c r="E242" i="209"/>
  <c r="G242" i="209" s="1"/>
  <c r="Z229" i="209"/>
  <c r="F117" i="211" s="1"/>
  <c r="Z292" i="209"/>
  <c r="F148" i="211" s="1"/>
  <c r="E305" i="209"/>
  <c r="G305" i="209" s="1"/>
  <c r="E274" i="209"/>
  <c r="G274" i="209" s="1"/>
  <c r="Z261" i="209"/>
  <c r="F133" i="211" s="1"/>
  <c r="E114" i="209"/>
  <c r="G114" i="209" s="1"/>
  <c r="Z101" i="209"/>
  <c r="F53" i="211" s="1"/>
  <c r="Z165" i="209"/>
  <c r="F85" i="211" s="1"/>
  <c r="E178" i="209"/>
  <c r="G178" i="209" s="1"/>
  <c r="E209" i="209" l="1"/>
  <c r="G209" i="209" s="1"/>
  <c r="Z196" i="209"/>
  <c r="F100" i="211" s="1"/>
  <c r="E116" i="209"/>
  <c r="G116" i="209" s="1"/>
  <c r="B126" i="209" s="1"/>
  <c r="V6" i="209" s="1"/>
  <c r="X17" i="210" s="1"/>
  <c r="F48" i="200" s="1"/>
  <c r="H48" i="200" s="1"/>
  <c r="J48" i="200" s="1"/>
  <c r="Z103" i="209"/>
  <c r="F55" i="211" s="1"/>
  <c r="E20" i="209"/>
  <c r="G20" i="209" s="1"/>
  <c r="Z7" i="209"/>
  <c r="F7" i="211" s="1"/>
  <c r="E52" i="209"/>
  <c r="G52" i="209" s="1"/>
  <c r="Z39" i="209"/>
  <c r="F23" i="211" s="1"/>
  <c r="Z135" i="209"/>
  <c r="F71" i="211" s="1"/>
  <c r="E148" i="209"/>
  <c r="G148" i="209" s="1"/>
  <c r="A52" i="211" l="1"/>
  <c r="C126" i="209"/>
  <c r="I25" i="196" l="1"/>
  <c r="E25" i="196" s="1"/>
  <c r="I24" i="196"/>
  <c r="E24" i="196" s="1"/>
  <c r="D33" i="193"/>
  <c r="B76" i="200" s="1"/>
  <c r="B2" i="208" l="1"/>
  <c r="I83" i="196" l="1"/>
  <c r="I82" i="196"/>
  <c r="I81" i="196"/>
  <c r="I80" i="196"/>
  <c r="I79" i="196"/>
  <c r="I78" i="196"/>
  <c r="I77" i="196"/>
  <c r="I76" i="196"/>
  <c r="I75" i="196"/>
  <c r="I74" i="196"/>
  <c r="I73" i="196"/>
  <c r="I72" i="196"/>
  <c r="I70" i="196"/>
  <c r="I69" i="196"/>
  <c r="I68" i="196"/>
  <c r="I67" i="196"/>
  <c r="I66" i="196"/>
  <c r="I65" i="196"/>
  <c r="I64" i="196"/>
  <c r="I63" i="196"/>
  <c r="I62" i="196"/>
  <c r="I61" i="196"/>
  <c r="D30" i="193" l="1"/>
  <c r="M74" i="200"/>
  <c r="AN10" i="198"/>
  <c r="AN9" i="198"/>
  <c r="AN8" i="198"/>
  <c r="AN7" i="198"/>
  <c r="AN6" i="198"/>
  <c r="AN5" i="198"/>
  <c r="AN4" i="198"/>
  <c r="AN3" i="198"/>
  <c r="AN2" i="198"/>
  <c r="AN1" i="198"/>
  <c r="F21" i="194" l="1"/>
  <c r="C26" i="194"/>
  <c r="I91" i="196"/>
  <c r="E91" i="196" s="1"/>
  <c r="N39" i="203"/>
  <c r="F303" i="199" l="1"/>
  <c r="F47" i="199"/>
  <c r="F271" i="199"/>
  <c r="F175" i="199"/>
  <c r="F79" i="199"/>
  <c r="F239" i="199"/>
  <c r="F111" i="199"/>
  <c r="F207" i="199"/>
  <c r="F143" i="199"/>
  <c r="H21" i="194"/>
  <c r="F15" i="199"/>
  <c r="AA4" i="208"/>
  <c r="I4" i="208" l="1"/>
  <c r="K4" i="208"/>
  <c r="AC4" i="208"/>
  <c r="AD4" i="208"/>
  <c r="AJ4" i="208"/>
  <c r="K5" i="208"/>
  <c r="I6" i="208"/>
  <c r="K6" i="208"/>
  <c r="G7" i="208"/>
  <c r="K7" i="208"/>
  <c r="G8" i="208"/>
  <c r="I8" i="208"/>
  <c r="K8" i="208"/>
  <c r="G9" i="208"/>
  <c r="I9" i="208"/>
  <c r="K9" i="208"/>
  <c r="G10" i="208"/>
  <c r="I10" i="208"/>
  <c r="K10" i="208"/>
  <c r="D11" i="208"/>
  <c r="G11" i="208"/>
  <c r="I11" i="208"/>
  <c r="K11" i="208"/>
  <c r="G12" i="208"/>
  <c r="I12" i="208"/>
  <c r="K12" i="208"/>
  <c r="G13" i="208"/>
  <c r="I13" i="208"/>
  <c r="K13" i="208"/>
  <c r="G14" i="208"/>
  <c r="I14" i="208"/>
  <c r="K14" i="208"/>
  <c r="D15" i="208"/>
  <c r="F15" i="208"/>
  <c r="G15" i="208"/>
  <c r="I15" i="208"/>
  <c r="K15" i="208"/>
  <c r="D16" i="208"/>
  <c r="F16" i="208"/>
  <c r="G16" i="208"/>
  <c r="I16" i="208"/>
  <c r="K16" i="208"/>
  <c r="D17" i="208"/>
  <c r="F17" i="208"/>
  <c r="G17" i="208"/>
  <c r="I17" i="208"/>
  <c r="K17" i="208"/>
  <c r="D18" i="208"/>
  <c r="F18" i="208"/>
  <c r="G18" i="208"/>
  <c r="I18" i="208"/>
  <c r="K18" i="208"/>
  <c r="D19" i="208"/>
  <c r="F19" i="208"/>
  <c r="G19" i="208"/>
  <c r="I19" i="208"/>
  <c r="K19" i="208"/>
  <c r="D20" i="208"/>
  <c r="F20" i="208"/>
  <c r="G20" i="208"/>
  <c r="I20" i="208"/>
  <c r="K20" i="208"/>
  <c r="D21" i="208"/>
  <c r="F21" i="208"/>
  <c r="G21" i="208"/>
  <c r="H21" i="208"/>
  <c r="I21" i="208"/>
  <c r="J21" i="208"/>
  <c r="K21" i="208"/>
  <c r="I4" i="207"/>
  <c r="K4" i="207"/>
  <c r="AA4" i="207"/>
  <c r="AC4" i="207"/>
  <c r="AD4" i="207"/>
  <c r="AJ4" i="207"/>
  <c r="I5" i="207"/>
  <c r="K5" i="207"/>
  <c r="I6" i="207"/>
  <c r="K6" i="207"/>
  <c r="I7" i="207"/>
  <c r="K7" i="207"/>
  <c r="G8" i="207"/>
  <c r="K8" i="207"/>
  <c r="D9" i="207"/>
  <c r="F9" i="207"/>
  <c r="G9" i="207"/>
  <c r="I9" i="207"/>
  <c r="K9" i="207"/>
  <c r="D10" i="207"/>
  <c r="F10" i="207"/>
  <c r="G10" i="207"/>
  <c r="I10" i="207"/>
  <c r="K10" i="207"/>
  <c r="D11" i="207"/>
  <c r="F11" i="207"/>
  <c r="G11" i="207"/>
  <c r="I11" i="207"/>
  <c r="K11" i="207"/>
  <c r="D12" i="207"/>
  <c r="F12" i="207"/>
  <c r="G12" i="207"/>
  <c r="I12" i="207"/>
  <c r="K12" i="207"/>
  <c r="D13" i="207"/>
  <c r="F13" i="207"/>
  <c r="G13" i="207"/>
  <c r="I13" i="207"/>
  <c r="K13" i="207"/>
  <c r="D14" i="207"/>
  <c r="F14" i="207"/>
  <c r="G14" i="207"/>
  <c r="I14" i="207"/>
  <c r="K14" i="207"/>
  <c r="D15" i="207"/>
  <c r="F15" i="207"/>
  <c r="G15" i="207"/>
  <c r="H15" i="207"/>
  <c r="I15" i="207"/>
  <c r="J15" i="207"/>
  <c r="K15" i="207"/>
  <c r="G16" i="207"/>
  <c r="I16" i="207"/>
  <c r="K16" i="207"/>
  <c r="G17" i="207"/>
  <c r="I17" i="207"/>
  <c r="K17" i="207"/>
  <c r="G18" i="207"/>
  <c r="I18" i="207"/>
  <c r="K18" i="207"/>
  <c r="I20" i="207"/>
  <c r="K20" i="207"/>
  <c r="AA20" i="207"/>
  <c r="AC20" i="207"/>
  <c r="AD20" i="207"/>
  <c r="AJ20" i="207"/>
  <c r="I21" i="207"/>
  <c r="K21" i="207"/>
  <c r="I22" i="207"/>
  <c r="K22" i="207"/>
  <c r="I23" i="207"/>
  <c r="K23" i="207"/>
  <c r="G24" i="207"/>
  <c r="K24" i="207"/>
  <c r="D25" i="207"/>
  <c r="F25" i="207"/>
  <c r="G25" i="207"/>
  <c r="I25" i="207"/>
  <c r="K25" i="207"/>
  <c r="D26" i="207"/>
  <c r="F26" i="207"/>
  <c r="G26" i="207"/>
  <c r="I26" i="207"/>
  <c r="K26" i="207"/>
  <c r="D27" i="207"/>
  <c r="F27" i="207"/>
  <c r="G27" i="207"/>
  <c r="I27" i="207"/>
  <c r="K27" i="207"/>
  <c r="D28" i="207"/>
  <c r="F28" i="207"/>
  <c r="G28" i="207"/>
  <c r="I28" i="207"/>
  <c r="K28" i="207"/>
  <c r="D29" i="207"/>
  <c r="F29" i="207"/>
  <c r="G29" i="207"/>
  <c r="I29" i="207"/>
  <c r="K29" i="207"/>
  <c r="D30" i="207"/>
  <c r="F30" i="207"/>
  <c r="G30" i="207"/>
  <c r="I30" i="207"/>
  <c r="K30" i="207"/>
  <c r="D31" i="207"/>
  <c r="F31" i="207"/>
  <c r="G31" i="207"/>
  <c r="H31" i="207"/>
  <c r="I31" i="207"/>
  <c r="J31" i="207"/>
  <c r="K31" i="207"/>
  <c r="G32" i="207"/>
  <c r="I32" i="207"/>
  <c r="K32" i="207"/>
  <c r="G33" i="207"/>
  <c r="I33" i="207"/>
  <c r="K33" i="207"/>
  <c r="G34" i="207"/>
  <c r="I34" i="207"/>
  <c r="K34" i="207"/>
  <c r="I36" i="207"/>
  <c r="K36" i="207"/>
  <c r="AA36" i="207"/>
  <c r="AC36" i="207"/>
  <c r="AD36" i="207"/>
  <c r="AJ36" i="207"/>
  <c r="I37" i="207"/>
  <c r="K37" i="207"/>
  <c r="I38" i="207"/>
  <c r="K38" i="207"/>
  <c r="I39" i="207"/>
  <c r="K39" i="207"/>
  <c r="G40" i="207"/>
  <c r="K40" i="207"/>
  <c r="D41" i="207"/>
  <c r="F41" i="207"/>
  <c r="G41" i="207"/>
  <c r="I41" i="207"/>
  <c r="K41" i="207"/>
  <c r="D42" i="207"/>
  <c r="F42" i="207"/>
  <c r="G42" i="207"/>
  <c r="I42" i="207"/>
  <c r="K42" i="207"/>
  <c r="D43" i="207"/>
  <c r="F43" i="207"/>
  <c r="G43" i="207"/>
  <c r="I43" i="207"/>
  <c r="K43" i="207"/>
  <c r="D44" i="207"/>
  <c r="F44" i="207"/>
  <c r="G44" i="207"/>
  <c r="I44" i="207"/>
  <c r="K44" i="207"/>
  <c r="D45" i="207"/>
  <c r="F45" i="207"/>
  <c r="G45" i="207"/>
  <c r="I45" i="207"/>
  <c r="K45" i="207"/>
  <c r="D46" i="207"/>
  <c r="F46" i="207"/>
  <c r="G46" i="207"/>
  <c r="I46" i="207"/>
  <c r="K46" i="207"/>
  <c r="D47" i="207"/>
  <c r="F47" i="207"/>
  <c r="G47" i="207"/>
  <c r="H47" i="207"/>
  <c r="I47" i="207"/>
  <c r="J47" i="207"/>
  <c r="K47" i="207"/>
  <c r="G48" i="207"/>
  <c r="I48" i="207"/>
  <c r="K48" i="207"/>
  <c r="G49" i="207"/>
  <c r="I49" i="207"/>
  <c r="K49" i="207"/>
  <c r="G50" i="207"/>
  <c r="I50" i="207"/>
  <c r="K50" i="207"/>
  <c r="I52" i="207"/>
  <c r="K52" i="207"/>
  <c r="AA52" i="207"/>
  <c r="AC52" i="207"/>
  <c r="AD52" i="207"/>
  <c r="AJ52" i="207"/>
  <c r="I53" i="207"/>
  <c r="K53" i="207"/>
  <c r="I54" i="207"/>
  <c r="K54" i="207"/>
  <c r="I55" i="207"/>
  <c r="K55" i="207"/>
  <c r="G56" i="207"/>
  <c r="K56" i="207"/>
  <c r="D57" i="207"/>
  <c r="F57" i="207"/>
  <c r="G57" i="207"/>
  <c r="I57" i="207"/>
  <c r="K57" i="207"/>
  <c r="D58" i="207"/>
  <c r="F58" i="207"/>
  <c r="G58" i="207"/>
  <c r="I58" i="207"/>
  <c r="K58" i="207"/>
  <c r="D59" i="207"/>
  <c r="F59" i="207"/>
  <c r="G59" i="207"/>
  <c r="I59" i="207"/>
  <c r="K59" i="207"/>
  <c r="D60" i="207"/>
  <c r="F60" i="207"/>
  <c r="G60" i="207"/>
  <c r="I60" i="207"/>
  <c r="K60" i="207"/>
  <c r="D61" i="207"/>
  <c r="F61" i="207"/>
  <c r="G61" i="207"/>
  <c r="I61" i="207"/>
  <c r="K61" i="207"/>
  <c r="D62" i="207"/>
  <c r="F62" i="207"/>
  <c r="G62" i="207"/>
  <c r="I62" i="207"/>
  <c r="K62" i="207"/>
  <c r="D63" i="207"/>
  <c r="F63" i="207"/>
  <c r="G63" i="207"/>
  <c r="H63" i="207"/>
  <c r="I63" i="207"/>
  <c r="J63" i="207"/>
  <c r="K63" i="207"/>
  <c r="G64" i="207"/>
  <c r="I64" i="207"/>
  <c r="K64" i="207"/>
  <c r="G65" i="207"/>
  <c r="I65" i="207"/>
  <c r="K65" i="207"/>
  <c r="G66" i="207"/>
  <c r="I66" i="207"/>
  <c r="K66" i="207"/>
  <c r="I68" i="207"/>
  <c r="K68" i="207"/>
  <c r="AA68" i="207"/>
  <c r="AC68" i="207"/>
  <c r="AD68" i="207"/>
  <c r="AJ68" i="207"/>
  <c r="I69" i="207"/>
  <c r="K69" i="207"/>
  <c r="I70" i="207"/>
  <c r="K70" i="207"/>
  <c r="I71" i="207"/>
  <c r="K71" i="207"/>
  <c r="G72" i="207"/>
  <c r="K72" i="207"/>
  <c r="D73" i="207"/>
  <c r="F73" i="207"/>
  <c r="G73" i="207"/>
  <c r="I73" i="207"/>
  <c r="K73" i="207"/>
  <c r="D74" i="207"/>
  <c r="F74" i="207"/>
  <c r="G74" i="207"/>
  <c r="I74" i="207"/>
  <c r="K74" i="207"/>
  <c r="D75" i="207"/>
  <c r="F75" i="207"/>
  <c r="G75" i="207"/>
  <c r="I75" i="207"/>
  <c r="K75" i="207"/>
  <c r="D76" i="207"/>
  <c r="F76" i="207"/>
  <c r="G76" i="207"/>
  <c r="I76" i="207"/>
  <c r="K76" i="207"/>
  <c r="D77" i="207"/>
  <c r="F77" i="207"/>
  <c r="G77" i="207"/>
  <c r="I77" i="207"/>
  <c r="K77" i="207"/>
  <c r="D78" i="207"/>
  <c r="F78" i="207"/>
  <c r="G78" i="207"/>
  <c r="I78" i="207"/>
  <c r="K78" i="207"/>
  <c r="D79" i="207"/>
  <c r="F79" i="207"/>
  <c r="G79" i="207"/>
  <c r="H79" i="207"/>
  <c r="I79" i="207"/>
  <c r="J79" i="207"/>
  <c r="K79" i="207"/>
  <c r="G80" i="207"/>
  <c r="I80" i="207"/>
  <c r="K80" i="207"/>
  <c r="G81" i="207"/>
  <c r="I81" i="207"/>
  <c r="K81" i="207"/>
  <c r="G82" i="207"/>
  <c r="I82" i="207"/>
  <c r="K82" i="207"/>
  <c r="I84" i="207"/>
  <c r="K84" i="207"/>
  <c r="AA84" i="207"/>
  <c r="AC84" i="207"/>
  <c r="AD84" i="207"/>
  <c r="AJ84" i="207"/>
  <c r="I85" i="207"/>
  <c r="K85" i="207"/>
  <c r="I86" i="207"/>
  <c r="K86" i="207"/>
  <c r="I87" i="207"/>
  <c r="K87" i="207"/>
  <c r="G88" i="207"/>
  <c r="K88" i="207"/>
  <c r="D89" i="207"/>
  <c r="F89" i="207"/>
  <c r="G89" i="207"/>
  <c r="I89" i="207"/>
  <c r="K89" i="207"/>
  <c r="D90" i="207"/>
  <c r="F90" i="207"/>
  <c r="G90" i="207"/>
  <c r="I90" i="207"/>
  <c r="K90" i="207"/>
  <c r="D91" i="207"/>
  <c r="F91" i="207"/>
  <c r="G91" i="207"/>
  <c r="I91" i="207"/>
  <c r="K91" i="207"/>
  <c r="D92" i="207"/>
  <c r="F92" i="207"/>
  <c r="G92" i="207"/>
  <c r="I92" i="207"/>
  <c r="K92" i="207"/>
  <c r="D93" i="207"/>
  <c r="F93" i="207"/>
  <c r="G93" i="207"/>
  <c r="I93" i="207"/>
  <c r="K93" i="207"/>
  <c r="D94" i="207"/>
  <c r="F94" i="207"/>
  <c r="G94" i="207"/>
  <c r="I94" i="207"/>
  <c r="K94" i="207"/>
  <c r="D95" i="207"/>
  <c r="F95" i="207"/>
  <c r="G95" i="207"/>
  <c r="H95" i="207"/>
  <c r="I95" i="207"/>
  <c r="J95" i="207"/>
  <c r="K95" i="207"/>
  <c r="G96" i="207"/>
  <c r="I96" i="207"/>
  <c r="K96" i="207"/>
  <c r="G97" i="207"/>
  <c r="I97" i="207"/>
  <c r="K97" i="207"/>
  <c r="G98" i="207"/>
  <c r="I98" i="207"/>
  <c r="K98" i="207"/>
  <c r="I100" i="207"/>
  <c r="K100" i="207"/>
  <c r="AA100" i="207"/>
  <c r="AC100" i="207"/>
  <c r="AD100" i="207"/>
  <c r="AJ100" i="207"/>
  <c r="I101" i="207"/>
  <c r="K101" i="207"/>
  <c r="I102" i="207"/>
  <c r="K102" i="207"/>
  <c r="I103" i="207"/>
  <c r="K103" i="207"/>
  <c r="G104" i="207"/>
  <c r="K104" i="207"/>
  <c r="D105" i="207"/>
  <c r="F105" i="207"/>
  <c r="G105" i="207"/>
  <c r="I105" i="207"/>
  <c r="K105" i="207"/>
  <c r="D106" i="207"/>
  <c r="F106" i="207"/>
  <c r="G106" i="207"/>
  <c r="I106" i="207"/>
  <c r="K106" i="207"/>
  <c r="D107" i="207"/>
  <c r="F107" i="207"/>
  <c r="G107" i="207"/>
  <c r="I107" i="207"/>
  <c r="K107" i="207"/>
  <c r="D108" i="207"/>
  <c r="F108" i="207"/>
  <c r="G108" i="207"/>
  <c r="I108" i="207"/>
  <c r="K108" i="207"/>
  <c r="D109" i="207"/>
  <c r="F109" i="207"/>
  <c r="G109" i="207"/>
  <c r="I109" i="207"/>
  <c r="K109" i="207"/>
  <c r="D110" i="207"/>
  <c r="F110" i="207"/>
  <c r="G110" i="207"/>
  <c r="I110" i="207"/>
  <c r="K110" i="207"/>
  <c r="D111" i="207"/>
  <c r="F111" i="207"/>
  <c r="G111" i="207"/>
  <c r="H111" i="207"/>
  <c r="I111" i="207"/>
  <c r="J111" i="207"/>
  <c r="K111" i="207"/>
  <c r="G112" i="207"/>
  <c r="I112" i="207"/>
  <c r="K112" i="207"/>
  <c r="G113" i="207"/>
  <c r="I113" i="207"/>
  <c r="K113" i="207"/>
  <c r="G114" i="207"/>
  <c r="I114" i="207"/>
  <c r="K114" i="207"/>
  <c r="I116" i="207"/>
  <c r="K116" i="207"/>
  <c r="AA116" i="207"/>
  <c r="AC116" i="207"/>
  <c r="AD116" i="207"/>
  <c r="AJ116" i="207"/>
  <c r="I117" i="207"/>
  <c r="K117" i="207"/>
  <c r="I118" i="207"/>
  <c r="K118" i="207"/>
  <c r="I119" i="207"/>
  <c r="K119" i="207"/>
  <c r="G120" i="207"/>
  <c r="K120" i="207"/>
  <c r="D121" i="207"/>
  <c r="F121" i="207"/>
  <c r="G121" i="207"/>
  <c r="I121" i="207"/>
  <c r="K121" i="207"/>
  <c r="D122" i="207"/>
  <c r="F122" i="207"/>
  <c r="G122" i="207"/>
  <c r="I122" i="207"/>
  <c r="K122" i="207"/>
  <c r="D123" i="207"/>
  <c r="F123" i="207"/>
  <c r="G123" i="207"/>
  <c r="I123" i="207"/>
  <c r="K123" i="207"/>
  <c r="D124" i="207"/>
  <c r="F124" i="207"/>
  <c r="G124" i="207"/>
  <c r="I124" i="207"/>
  <c r="K124" i="207"/>
  <c r="D125" i="207"/>
  <c r="F125" i="207"/>
  <c r="G125" i="207"/>
  <c r="I125" i="207"/>
  <c r="K125" i="207"/>
  <c r="D126" i="207"/>
  <c r="F126" i="207"/>
  <c r="G126" i="207"/>
  <c r="I126" i="207"/>
  <c r="K126" i="207"/>
  <c r="D127" i="207"/>
  <c r="F127" i="207"/>
  <c r="G127" i="207"/>
  <c r="H127" i="207"/>
  <c r="I127" i="207"/>
  <c r="J127" i="207"/>
  <c r="K127" i="207"/>
  <c r="G128" i="207"/>
  <c r="I128" i="207"/>
  <c r="K128" i="207"/>
  <c r="G129" i="207"/>
  <c r="I129" i="207"/>
  <c r="K129" i="207"/>
  <c r="G130" i="207"/>
  <c r="I130" i="207"/>
  <c r="K130" i="207"/>
  <c r="I132" i="207"/>
  <c r="K132" i="207"/>
  <c r="AA132" i="207"/>
  <c r="AC132" i="207"/>
  <c r="AD132" i="207"/>
  <c r="AJ132" i="207"/>
  <c r="I133" i="207"/>
  <c r="K133" i="207"/>
  <c r="I134" i="207"/>
  <c r="K134" i="207"/>
  <c r="I135" i="207"/>
  <c r="K135" i="207"/>
  <c r="G136" i="207"/>
  <c r="K136" i="207"/>
  <c r="D137" i="207"/>
  <c r="F137" i="207"/>
  <c r="G137" i="207"/>
  <c r="I137" i="207"/>
  <c r="K137" i="207"/>
  <c r="D138" i="207"/>
  <c r="F138" i="207"/>
  <c r="G138" i="207"/>
  <c r="I138" i="207"/>
  <c r="K138" i="207"/>
  <c r="D139" i="207"/>
  <c r="F139" i="207"/>
  <c r="G139" i="207"/>
  <c r="I139" i="207"/>
  <c r="K139" i="207"/>
  <c r="D140" i="207"/>
  <c r="F140" i="207"/>
  <c r="G140" i="207"/>
  <c r="I140" i="207"/>
  <c r="K140" i="207"/>
  <c r="D141" i="207"/>
  <c r="F141" i="207"/>
  <c r="G141" i="207"/>
  <c r="I141" i="207"/>
  <c r="K141" i="207"/>
  <c r="D142" i="207"/>
  <c r="F142" i="207"/>
  <c r="G142" i="207"/>
  <c r="I142" i="207"/>
  <c r="K142" i="207"/>
  <c r="D143" i="207"/>
  <c r="F143" i="207"/>
  <c r="G143" i="207"/>
  <c r="H143" i="207"/>
  <c r="I143" i="207"/>
  <c r="J143" i="207"/>
  <c r="K143" i="207"/>
  <c r="G144" i="207"/>
  <c r="I144" i="207"/>
  <c r="K144" i="207"/>
  <c r="G145" i="207"/>
  <c r="I145" i="207"/>
  <c r="K145" i="207"/>
  <c r="G146" i="207"/>
  <c r="I146" i="207"/>
  <c r="K146" i="207"/>
  <c r="I148" i="207"/>
  <c r="K148" i="207"/>
  <c r="AA148" i="207"/>
  <c r="AC148" i="207"/>
  <c r="AD148" i="207"/>
  <c r="AJ148" i="207"/>
  <c r="I149" i="207"/>
  <c r="K149" i="207"/>
  <c r="I150" i="207"/>
  <c r="K150" i="207"/>
  <c r="I151" i="207"/>
  <c r="K151" i="207"/>
  <c r="G152" i="207"/>
  <c r="K152" i="207"/>
  <c r="D153" i="207"/>
  <c r="F153" i="207"/>
  <c r="G153" i="207"/>
  <c r="I153" i="207"/>
  <c r="K153" i="207"/>
  <c r="D154" i="207"/>
  <c r="F154" i="207"/>
  <c r="G154" i="207"/>
  <c r="I154" i="207"/>
  <c r="K154" i="207"/>
  <c r="D155" i="207"/>
  <c r="F155" i="207"/>
  <c r="G155" i="207"/>
  <c r="I155" i="207"/>
  <c r="K155" i="207"/>
  <c r="D156" i="207"/>
  <c r="F156" i="207"/>
  <c r="G156" i="207"/>
  <c r="I156" i="207"/>
  <c r="K156" i="207"/>
  <c r="D157" i="207"/>
  <c r="F157" i="207"/>
  <c r="G157" i="207"/>
  <c r="I157" i="207"/>
  <c r="K157" i="207"/>
  <c r="D158" i="207"/>
  <c r="F158" i="207"/>
  <c r="G158" i="207"/>
  <c r="I158" i="207"/>
  <c r="K158" i="207"/>
  <c r="D159" i="207"/>
  <c r="F159" i="207"/>
  <c r="G159" i="207"/>
  <c r="H159" i="207"/>
  <c r="I159" i="207"/>
  <c r="J159" i="207"/>
  <c r="K159" i="207"/>
  <c r="G160" i="207"/>
  <c r="I160" i="207"/>
  <c r="K160" i="207"/>
  <c r="G161" i="207"/>
  <c r="I161" i="207"/>
  <c r="K161" i="207"/>
  <c r="G162" i="207"/>
  <c r="I162" i="207"/>
  <c r="K162" i="207"/>
  <c r="I85" i="196" l="1"/>
  <c r="I42" i="196"/>
  <c r="I43" i="196"/>
  <c r="I44" i="196"/>
  <c r="I45" i="196"/>
  <c r="I46" i="196"/>
  <c r="I47" i="196"/>
  <c r="I48" i="196"/>
  <c r="I49" i="196"/>
  <c r="I50" i="196"/>
  <c r="I51" i="196"/>
  <c r="I52" i="196"/>
  <c r="I53" i="196"/>
  <c r="I54" i="196"/>
  <c r="I41" i="196"/>
  <c r="I28" i="196"/>
  <c r="I29" i="196"/>
  <c r="I30" i="196"/>
  <c r="I31" i="196"/>
  <c r="I32" i="196"/>
  <c r="I33" i="196"/>
  <c r="I34" i="196"/>
  <c r="I35" i="196"/>
  <c r="I36" i="196"/>
  <c r="I37" i="196"/>
  <c r="I38" i="196"/>
  <c r="I39" i="196"/>
  <c r="I27" i="196"/>
  <c r="O1" i="200" l="1"/>
  <c r="E54" i="196" l="1"/>
  <c r="E45" i="196"/>
  <c r="E46" i="196"/>
  <c r="C314" i="209" l="1"/>
  <c r="E314" i="209" s="1"/>
  <c r="C318" i="209" s="1"/>
  <c r="C26" i="209"/>
  <c r="E26" i="209" s="1"/>
  <c r="C282" i="209"/>
  <c r="E282" i="209" s="1"/>
  <c r="C286" i="209" s="1"/>
  <c r="C154" i="209"/>
  <c r="E154" i="209" s="1"/>
  <c r="C58" i="209"/>
  <c r="E58" i="209" s="1"/>
  <c r="C62" i="209" s="1"/>
  <c r="C90" i="209"/>
  <c r="E90" i="209" s="1"/>
  <c r="C94" i="209" s="1"/>
  <c r="C250" i="209"/>
  <c r="E250" i="209" s="1"/>
  <c r="C254" i="209" s="1"/>
  <c r="C186" i="209"/>
  <c r="E186" i="209" s="1"/>
  <c r="C190" i="209" s="1"/>
  <c r="C218" i="209"/>
  <c r="E218" i="209" s="1"/>
  <c r="C222" i="209" s="1"/>
  <c r="F6" i="202"/>
  <c r="F8" i="202"/>
  <c r="F10" i="202"/>
  <c r="F12" i="202"/>
  <c r="F14" i="202"/>
  <c r="F16" i="202"/>
  <c r="F18" i="202"/>
  <c r="F20" i="202"/>
  <c r="F22" i="202"/>
  <c r="F4" i="202"/>
  <c r="L26" i="201" l="1"/>
  <c r="G92" i="200" s="1"/>
  <c r="L24" i="201"/>
  <c r="G91" i="200" s="1"/>
  <c r="L22" i="201"/>
  <c r="G90" i="200" s="1"/>
  <c r="L20" i="201"/>
  <c r="G89" i="200" s="1"/>
  <c r="G88" i="200"/>
  <c r="L16" i="201"/>
  <c r="G87" i="200" s="1"/>
  <c r="L14" i="201"/>
  <c r="G86" i="200" s="1"/>
  <c r="L12" i="201"/>
  <c r="G85" i="200" s="1"/>
  <c r="L10" i="201"/>
  <c r="G84" i="200" s="1"/>
  <c r="L8" i="201"/>
  <c r="G83" i="200" s="1"/>
  <c r="B95" i="200"/>
  <c r="B96" i="200"/>
  <c r="B94" i="200"/>
  <c r="H26" i="201"/>
  <c r="G22" i="202" s="1"/>
  <c r="H24" i="201"/>
  <c r="G20" i="202" s="1"/>
  <c r="H22" i="201"/>
  <c r="G18" i="202" s="1"/>
  <c r="H20" i="201"/>
  <c r="G16" i="202" s="1"/>
  <c r="H18" i="201"/>
  <c r="G14" i="202" s="1"/>
  <c r="H16" i="201"/>
  <c r="G12" i="202" s="1"/>
  <c r="H14" i="201"/>
  <c r="H12" i="201"/>
  <c r="H10" i="201"/>
  <c r="H8" i="201"/>
  <c r="B87" i="200" l="1"/>
  <c r="B90" i="200"/>
  <c r="B88" i="200"/>
  <c r="B89" i="200"/>
  <c r="B91" i="200"/>
  <c r="B86" i="200"/>
  <c r="G10" i="202"/>
  <c r="B92" i="200"/>
  <c r="B83" i="200"/>
  <c r="G4" i="202"/>
  <c r="B84" i="200"/>
  <c r="G6" i="202"/>
  <c r="B85" i="200"/>
  <c r="G8" i="202"/>
  <c r="H4" i="196" l="1"/>
  <c r="I4" i="196" s="1"/>
  <c r="H5" i="196"/>
  <c r="H6" i="196"/>
  <c r="H7" i="196"/>
  <c r="H8" i="196"/>
  <c r="H9" i="196"/>
  <c r="I9" i="196" s="1"/>
  <c r="H10" i="196"/>
  <c r="H11" i="196"/>
  <c r="H12" i="196"/>
  <c r="H3" i="196"/>
  <c r="I3" i="196" s="1"/>
  <c r="H15" i="196"/>
  <c r="I15" i="196" s="1"/>
  <c r="H16" i="196"/>
  <c r="I16" i="196" s="1"/>
  <c r="H17" i="196"/>
  <c r="I17" i="196" s="1"/>
  <c r="H18" i="196"/>
  <c r="I18" i="196" s="1"/>
  <c r="H19" i="196"/>
  <c r="I19" i="196" s="1"/>
  <c r="H20" i="196"/>
  <c r="I20" i="196" s="1"/>
  <c r="H21" i="196"/>
  <c r="I21" i="196" s="1"/>
  <c r="H22" i="196"/>
  <c r="I22" i="196" s="1"/>
  <c r="H23" i="196"/>
  <c r="I23" i="196" s="1"/>
  <c r="H14" i="196"/>
  <c r="I14" i="196" s="1"/>
  <c r="G24" i="202" l="1"/>
  <c r="G25" i="202"/>
  <c r="G26" i="202"/>
  <c r="D8" i="202"/>
  <c r="D10" i="202"/>
  <c r="D12" i="202"/>
  <c r="D14" i="202"/>
  <c r="D18" i="202"/>
  <c r="D20" i="202"/>
  <c r="D22" i="202"/>
  <c r="C5" i="202"/>
  <c r="C6" i="202"/>
  <c r="C7" i="202"/>
  <c r="C8" i="202"/>
  <c r="C9" i="202"/>
  <c r="C10" i="202"/>
  <c r="C11" i="202"/>
  <c r="C12" i="202"/>
  <c r="C13" i="202"/>
  <c r="C14" i="202"/>
  <c r="C15" i="202"/>
  <c r="C16" i="202"/>
  <c r="C17" i="202"/>
  <c r="C18" i="202"/>
  <c r="C19" i="202"/>
  <c r="C20" i="202"/>
  <c r="C21" i="202"/>
  <c r="B6" i="202"/>
  <c r="B7" i="202"/>
  <c r="B8" i="202"/>
  <c r="B9" i="202"/>
  <c r="B10" i="202"/>
  <c r="B11" i="202"/>
  <c r="B12" i="202"/>
  <c r="B13" i="202"/>
  <c r="B14" i="202"/>
  <c r="B15" i="202"/>
  <c r="B16" i="202"/>
  <c r="B17" i="202"/>
  <c r="B18" i="202"/>
  <c r="B19" i="202"/>
  <c r="B20" i="202"/>
  <c r="B21" i="202"/>
  <c r="B5" i="202"/>
  <c r="D25" i="202"/>
  <c r="D26" i="202"/>
  <c r="D24" i="202"/>
  <c r="C25" i="202"/>
  <c r="C26" i="202"/>
  <c r="C24" i="202"/>
  <c r="B25" i="202"/>
  <c r="B26" i="202"/>
  <c r="B24" i="202"/>
  <c r="I89" i="196" l="1"/>
  <c r="E89" i="196" s="1"/>
  <c r="F93" i="200" s="1"/>
  <c r="R16" i="194" l="1"/>
  <c r="J13" i="208" s="1"/>
  <c r="R14" i="194"/>
  <c r="J11" i="208" s="1"/>
  <c r="F33" i="193" l="1"/>
  <c r="F76" i="200" l="1"/>
  <c r="H76" i="200" s="1"/>
  <c r="G34" i="193"/>
  <c r="G77" i="200" s="1"/>
  <c r="D34" i="193"/>
  <c r="D36" i="193"/>
  <c r="F14" i="208" s="1"/>
  <c r="D35" i="193"/>
  <c r="F13" i="208" s="1"/>
  <c r="E23" i="196"/>
  <c r="E22" i="196"/>
  <c r="E21" i="196"/>
  <c r="E15" i="196"/>
  <c r="E14" i="196"/>
  <c r="E17" i="196"/>
  <c r="E18" i="196"/>
  <c r="E19" i="196"/>
  <c r="E20" i="196"/>
  <c r="E16" i="196"/>
  <c r="F32" i="193" l="1"/>
  <c r="F75" i="200" s="1"/>
  <c r="F36" i="193"/>
  <c r="F79" i="200" s="1"/>
  <c r="F34" i="193"/>
  <c r="F77" i="200" s="1"/>
  <c r="F12" i="208"/>
  <c r="F35" i="193"/>
  <c r="F78" i="200" l="1"/>
  <c r="H78" i="200" s="1"/>
  <c r="H77" i="200"/>
  <c r="H36" i="193"/>
  <c r="H35" i="193"/>
  <c r="H34" i="193"/>
  <c r="R15" i="194"/>
  <c r="J12" i="208" s="1"/>
  <c r="H33" i="193"/>
  <c r="E79" i="196"/>
  <c r="E44" i="196" l="1"/>
  <c r="E43" i="196"/>
  <c r="I33" i="200" l="1"/>
  <c r="I30" i="200"/>
  <c r="I27" i="200"/>
  <c r="I24" i="200"/>
  <c r="I21" i="200"/>
  <c r="I18" i="200"/>
  <c r="I15" i="200"/>
  <c r="I12" i="200"/>
  <c r="I9" i="200"/>
  <c r="I6" i="200"/>
  <c r="U12" i="199"/>
  <c r="U11" i="199"/>
  <c r="D280" i="199" s="1"/>
  <c r="AA274" i="199" s="1"/>
  <c r="J146" i="207" s="1"/>
  <c r="U10" i="199"/>
  <c r="U9" i="199"/>
  <c r="D216" i="199" s="1"/>
  <c r="AA210" i="199" s="1"/>
  <c r="J114" i="207" s="1"/>
  <c r="U8" i="199"/>
  <c r="D184" i="199" s="1"/>
  <c r="AA178" i="199" s="1"/>
  <c r="J98" i="207" s="1"/>
  <c r="U7" i="199"/>
  <c r="U6" i="199"/>
  <c r="D120" i="199" s="1"/>
  <c r="AA114" i="199" s="1"/>
  <c r="J66" i="207" s="1"/>
  <c r="U5" i="199"/>
  <c r="U4" i="199"/>
  <c r="U3" i="199"/>
  <c r="E53" i="196"/>
  <c r="E50" i="196"/>
  <c r="E51" i="196"/>
  <c r="E52" i="196"/>
  <c r="Q12" i="199"/>
  <c r="C310" i="199" s="1"/>
  <c r="Q11" i="199"/>
  <c r="C278" i="199" s="1"/>
  <c r="Q10" i="199"/>
  <c r="C246" i="199" s="1"/>
  <c r="Q9" i="199"/>
  <c r="C214" i="199" s="1"/>
  <c r="Q8" i="199"/>
  <c r="C182" i="199" s="1"/>
  <c r="Q7" i="199"/>
  <c r="C150" i="199" s="1"/>
  <c r="Q6" i="199"/>
  <c r="C118" i="199" s="1"/>
  <c r="Q5" i="199"/>
  <c r="C86" i="199" s="1"/>
  <c r="Q4" i="199"/>
  <c r="C54" i="199" s="1"/>
  <c r="Q3" i="199"/>
  <c r="C22" i="199" s="1"/>
  <c r="T12" i="199"/>
  <c r="B295" i="199" s="1"/>
  <c r="T11" i="199"/>
  <c r="B263" i="199" s="1"/>
  <c r="T10" i="199"/>
  <c r="B231" i="199" s="1"/>
  <c r="T9" i="199"/>
  <c r="B199" i="199" s="1"/>
  <c r="T8" i="199"/>
  <c r="B167" i="199" s="1"/>
  <c r="T7" i="199"/>
  <c r="B135" i="199" s="1"/>
  <c r="T6" i="199"/>
  <c r="B103" i="199" s="1"/>
  <c r="T5" i="199"/>
  <c r="B71" i="199" s="1"/>
  <c r="T4" i="199"/>
  <c r="B39" i="199" s="1"/>
  <c r="T3" i="199"/>
  <c r="B7" i="199" s="1"/>
  <c r="S12" i="199"/>
  <c r="B294" i="199" s="1"/>
  <c r="S11" i="199"/>
  <c r="B262" i="199" s="1"/>
  <c r="S10" i="199"/>
  <c r="B230" i="199" s="1"/>
  <c r="S9" i="199"/>
  <c r="B198" i="199" s="1"/>
  <c r="AA205" i="199" s="1"/>
  <c r="S8" i="199"/>
  <c r="B166" i="199" s="1"/>
  <c r="S7" i="199"/>
  <c r="B134" i="199" s="1"/>
  <c r="S6" i="199"/>
  <c r="B102" i="199" s="1"/>
  <c r="S5" i="199"/>
  <c r="B70" i="199" s="1"/>
  <c r="S4" i="199"/>
  <c r="B38" i="199" s="1"/>
  <c r="S3" i="199"/>
  <c r="R12" i="199"/>
  <c r="B293" i="199" s="1"/>
  <c r="R11" i="199"/>
  <c r="B261" i="199" s="1"/>
  <c r="R10" i="199"/>
  <c r="B229" i="199" s="1"/>
  <c r="R9" i="199"/>
  <c r="B197" i="199" s="1"/>
  <c r="R8" i="199"/>
  <c r="B165" i="199" s="1"/>
  <c r="R7" i="199"/>
  <c r="B133" i="199" s="1"/>
  <c r="B139" i="199" s="1"/>
  <c r="R6" i="199"/>
  <c r="B101" i="199" s="1"/>
  <c r="R5" i="199"/>
  <c r="B69" i="199" s="1"/>
  <c r="B75" i="199" s="1"/>
  <c r="R4" i="199"/>
  <c r="B37" i="199" s="1"/>
  <c r="R3" i="199"/>
  <c r="P12" i="199"/>
  <c r="C307" i="199" s="1"/>
  <c r="P11" i="199"/>
  <c r="C276" i="199" s="1"/>
  <c r="P10" i="199"/>
  <c r="C241" i="199" s="1"/>
  <c r="P9" i="199"/>
  <c r="C210" i="199" s="1"/>
  <c r="P8" i="199"/>
  <c r="C180" i="199" s="1"/>
  <c r="P7" i="199"/>
  <c r="C148" i="199" s="1"/>
  <c r="P6" i="199"/>
  <c r="C116" i="199" s="1"/>
  <c r="P5" i="199"/>
  <c r="C84" i="199" s="1"/>
  <c r="P4" i="199"/>
  <c r="C52" i="199" s="1"/>
  <c r="P3" i="199"/>
  <c r="C19" i="199" s="1"/>
  <c r="S4" i="203"/>
  <c r="S3" i="203"/>
  <c r="AA270" i="199" l="1"/>
  <c r="J142" i="207" s="1"/>
  <c r="AA269" i="199"/>
  <c r="AA302" i="199"/>
  <c r="J158" i="207" s="1"/>
  <c r="AA301" i="199"/>
  <c r="AA238" i="199"/>
  <c r="J126" i="207" s="1"/>
  <c r="AA237" i="199"/>
  <c r="AA46" i="199"/>
  <c r="J30" i="207" s="1"/>
  <c r="AA45" i="199"/>
  <c r="J29" i="207" s="1"/>
  <c r="AA78" i="199"/>
  <c r="J46" i="207" s="1"/>
  <c r="AA77" i="199"/>
  <c r="AA110" i="199"/>
  <c r="J62" i="207" s="1"/>
  <c r="AA109" i="199"/>
  <c r="J61" i="207" s="1"/>
  <c r="AA142" i="199"/>
  <c r="J78" i="207" s="1"/>
  <c r="AA141" i="199"/>
  <c r="AA174" i="199"/>
  <c r="J94" i="207" s="1"/>
  <c r="AA173" i="199"/>
  <c r="C312" i="209"/>
  <c r="C216" i="209"/>
  <c r="C184" i="209"/>
  <c r="C56" i="209"/>
  <c r="C152" i="209"/>
  <c r="C248" i="209"/>
  <c r="C24" i="209"/>
  <c r="C280" i="209"/>
  <c r="C88" i="209"/>
  <c r="C249" i="209"/>
  <c r="C281" i="209"/>
  <c r="C185" i="209"/>
  <c r="C25" i="209"/>
  <c r="C313" i="209"/>
  <c r="C217" i="209"/>
  <c r="C89" i="209"/>
  <c r="C153" i="209"/>
  <c r="C57" i="209"/>
  <c r="B26" i="199"/>
  <c r="C26" i="199" s="1"/>
  <c r="B25" i="199"/>
  <c r="Z16" i="199" s="1"/>
  <c r="B24" i="199"/>
  <c r="C24" i="199" s="1"/>
  <c r="F7" i="200" s="1"/>
  <c r="B56" i="199"/>
  <c r="C56" i="199" s="1"/>
  <c r="F10" i="200" s="1"/>
  <c r="B58" i="199"/>
  <c r="C58" i="199" s="1"/>
  <c r="B57" i="199"/>
  <c r="B90" i="199"/>
  <c r="C90" i="199" s="1"/>
  <c r="B89" i="199"/>
  <c r="B88" i="199"/>
  <c r="C88" i="199" s="1"/>
  <c r="F13" i="200" s="1"/>
  <c r="B121" i="199"/>
  <c r="B122" i="199"/>
  <c r="C122" i="199" s="1"/>
  <c r="B120" i="199"/>
  <c r="C120" i="199" s="1"/>
  <c r="F16" i="200" s="1"/>
  <c r="B153" i="199"/>
  <c r="B152" i="199"/>
  <c r="C152" i="199" s="1"/>
  <c r="F19" i="200" s="1"/>
  <c r="B154" i="199"/>
  <c r="C154" i="199" s="1"/>
  <c r="B185" i="199"/>
  <c r="B184" i="199"/>
  <c r="C184" i="199" s="1"/>
  <c r="F22" i="200" s="1"/>
  <c r="B186" i="199"/>
  <c r="C186" i="199" s="1"/>
  <c r="B218" i="199"/>
  <c r="C218" i="199" s="1"/>
  <c r="B217" i="199"/>
  <c r="B216" i="199"/>
  <c r="C216" i="199" s="1"/>
  <c r="F25" i="200" s="1"/>
  <c r="B250" i="199"/>
  <c r="C250" i="199" s="1"/>
  <c r="B249" i="199"/>
  <c r="B248" i="199"/>
  <c r="C248" i="199" s="1"/>
  <c r="F28" i="200" s="1"/>
  <c r="B281" i="199"/>
  <c r="Z272" i="199" s="1"/>
  <c r="B280" i="199"/>
  <c r="C280" i="199" s="1"/>
  <c r="F31" i="200" s="1"/>
  <c r="B282" i="199"/>
  <c r="C282" i="199" s="1"/>
  <c r="B314" i="199"/>
  <c r="C314" i="199" s="1"/>
  <c r="B313" i="199"/>
  <c r="B312" i="199"/>
  <c r="C312" i="199" s="1"/>
  <c r="F34" i="200" s="1"/>
  <c r="B19" i="199"/>
  <c r="Y6" i="199" s="1"/>
  <c r="D6" i="207" s="1"/>
  <c r="D56" i="199"/>
  <c r="AA50" i="199" s="1"/>
  <c r="J34" i="207" s="1"/>
  <c r="D312" i="199"/>
  <c r="AA306" i="199" s="1"/>
  <c r="J162" i="207" s="1"/>
  <c r="B276" i="199"/>
  <c r="Y263" i="199" s="1"/>
  <c r="D135" i="207" s="1"/>
  <c r="B307" i="199"/>
  <c r="Y294" i="199" s="1"/>
  <c r="D150" i="207" s="1"/>
  <c r="B52" i="199"/>
  <c r="Y39" i="199" s="1"/>
  <c r="D23" i="207" s="1"/>
  <c r="B116" i="199"/>
  <c r="Y103" i="199" s="1"/>
  <c r="D55" i="207" s="1"/>
  <c r="C211" i="199"/>
  <c r="B211" i="199" s="1"/>
  <c r="Y198" i="199" s="1"/>
  <c r="D102" i="207" s="1"/>
  <c r="C273" i="199"/>
  <c r="B273" i="199" s="1"/>
  <c r="Y260" i="199" s="1"/>
  <c r="D132" i="207" s="1"/>
  <c r="D152" i="199"/>
  <c r="AA146" i="199" s="1"/>
  <c r="J82" i="207" s="1"/>
  <c r="B148" i="199"/>
  <c r="Y135" i="199" s="1"/>
  <c r="D71" i="207" s="1"/>
  <c r="B180" i="199"/>
  <c r="Y167" i="199" s="1"/>
  <c r="D87" i="207" s="1"/>
  <c r="B210" i="199"/>
  <c r="Y197" i="199" s="1"/>
  <c r="D101" i="207" s="1"/>
  <c r="B241" i="199"/>
  <c r="Y228" i="199" s="1"/>
  <c r="D116" i="207" s="1"/>
  <c r="B84" i="199"/>
  <c r="Y71" i="199" s="1"/>
  <c r="D39" i="207" s="1"/>
  <c r="B204" i="199"/>
  <c r="AA206" i="199"/>
  <c r="J110" i="207" s="1"/>
  <c r="D121" i="199"/>
  <c r="AD114" i="199"/>
  <c r="H66" i="207" s="1"/>
  <c r="AD107" i="199"/>
  <c r="AC102" i="199"/>
  <c r="G54" i="207" s="1"/>
  <c r="AD102" i="199"/>
  <c r="H54" i="207" s="1"/>
  <c r="AD100" i="199"/>
  <c r="H52" i="207" s="1"/>
  <c r="AD110" i="199"/>
  <c r="H62" i="207" s="1"/>
  <c r="AD106" i="199"/>
  <c r="AD103" i="199"/>
  <c r="H55" i="207" s="1"/>
  <c r="AC100" i="199"/>
  <c r="G52" i="207" s="1"/>
  <c r="AD113" i="199"/>
  <c r="H65" i="207" s="1"/>
  <c r="AD105" i="199"/>
  <c r="AC103" i="199"/>
  <c r="G55" i="207" s="1"/>
  <c r="AA104" i="199"/>
  <c r="J56" i="207" s="1"/>
  <c r="AD109" i="199"/>
  <c r="H61" i="207" s="1"/>
  <c r="AD101" i="199"/>
  <c r="H53" i="207" s="1"/>
  <c r="AD104" i="199"/>
  <c r="H56" i="207" s="1"/>
  <c r="AC101" i="199"/>
  <c r="G53" i="207" s="1"/>
  <c r="AA108" i="199"/>
  <c r="J60" i="207" s="1"/>
  <c r="AD108" i="199"/>
  <c r="H60" i="207" s="1"/>
  <c r="D153" i="199"/>
  <c r="J77" i="207"/>
  <c r="AD140" i="199"/>
  <c r="H76" i="207" s="1"/>
  <c r="AA136" i="199"/>
  <c r="J72" i="207" s="1"/>
  <c r="AD134" i="199"/>
  <c r="H70" i="207" s="1"/>
  <c r="AC133" i="199"/>
  <c r="G69" i="207" s="1"/>
  <c r="AA140" i="199"/>
  <c r="J76" i="207" s="1"/>
  <c r="AC134" i="199"/>
  <c r="G70" i="207" s="1"/>
  <c r="AD139" i="199"/>
  <c r="AD132" i="199"/>
  <c r="H68" i="207" s="1"/>
  <c r="AD141" i="199"/>
  <c r="H77" i="207" s="1"/>
  <c r="AD146" i="199"/>
  <c r="H82" i="207" s="1"/>
  <c r="AD138" i="199"/>
  <c r="AD135" i="199"/>
  <c r="H71" i="207" s="1"/>
  <c r="AC132" i="199"/>
  <c r="G68" i="207" s="1"/>
  <c r="AD142" i="199"/>
  <c r="H78" i="207" s="1"/>
  <c r="AD137" i="199"/>
  <c r="AC135" i="199"/>
  <c r="G71" i="207" s="1"/>
  <c r="AD136" i="199"/>
  <c r="H72" i="207" s="1"/>
  <c r="AD133" i="199"/>
  <c r="H69" i="207" s="1"/>
  <c r="AD145" i="199"/>
  <c r="H81" i="207" s="1"/>
  <c r="G22" i="200"/>
  <c r="G31" i="200"/>
  <c r="D185" i="199"/>
  <c r="AD177" i="199"/>
  <c r="H97" i="207" s="1"/>
  <c r="AD167" i="199"/>
  <c r="H87" i="207" s="1"/>
  <c r="AC164" i="199"/>
  <c r="G84" i="207" s="1"/>
  <c r="AD173" i="199"/>
  <c r="H93" i="207" s="1"/>
  <c r="AD169" i="199"/>
  <c r="AC167" i="199"/>
  <c r="G87" i="207" s="1"/>
  <c r="AD164" i="199"/>
  <c r="H84" i="207" s="1"/>
  <c r="J93" i="207"/>
  <c r="AD165" i="199"/>
  <c r="H85" i="207" s="1"/>
  <c r="AD172" i="199"/>
  <c r="H92" i="207" s="1"/>
  <c r="AD168" i="199"/>
  <c r="H88" i="207" s="1"/>
  <c r="AC165" i="199"/>
  <c r="G85" i="207" s="1"/>
  <c r="AD170" i="199"/>
  <c r="AA172" i="199"/>
  <c r="J92" i="207" s="1"/>
  <c r="AD174" i="199"/>
  <c r="H94" i="207" s="1"/>
  <c r="AD178" i="199"/>
  <c r="H98" i="207" s="1"/>
  <c r="AD171" i="199"/>
  <c r="AA168" i="199"/>
  <c r="J88" i="207" s="1"/>
  <c r="AD166" i="199"/>
  <c r="H86" i="207" s="1"/>
  <c r="AC166" i="199"/>
  <c r="G86" i="207" s="1"/>
  <c r="D217" i="199"/>
  <c r="AD196" i="199"/>
  <c r="H100" i="207" s="1"/>
  <c r="AD209" i="199"/>
  <c r="H113" i="207" s="1"/>
  <c r="AD206" i="199"/>
  <c r="H110" i="207" s="1"/>
  <c r="AD202" i="199"/>
  <c r="AD199" i="199"/>
  <c r="H103" i="207" s="1"/>
  <c r="AC196" i="199"/>
  <c r="G100" i="207" s="1"/>
  <c r="AC198" i="199"/>
  <c r="G102" i="207" s="1"/>
  <c r="AD201" i="199"/>
  <c r="AC199" i="199"/>
  <c r="G103" i="207" s="1"/>
  <c r="AD205" i="199"/>
  <c r="H109" i="207" s="1"/>
  <c r="AD197" i="199"/>
  <c r="H101" i="207" s="1"/>
  <c r="AD203" i="199"/>
  <c r="J109" i="207"/>
  <c r="AD200" i="199"/>
  <c r="H104" i="207" s="1"/>
  <c r="AC197" i="199"/>
  <c r="G101" i="207" s="1"/>
  <c r="AD204" i="199"/>
  <c r="H108" i="207" s="1"/>
  <c r="AD210" i="199"/>
  <c r="H114" i="207" s="1"/>
  <c r="AA204" i="199"/>
  <c r="J108" i="207" s="1"/>
  <c r="AA200" i="199"/>
  <c r="J104" i="207" s="1"/>
  <c r="AD198" i="199"/>
  <c r="H102" i="207" s="1"/>
  <c r="D249" i="199"/>
  <c r="AC230" i="199"/>
  <c r="G118" i="207" s="1"/>
  <c r="AD230" i="199"/>
  <c r="H118" i="207" s="1"/>
  <c r="AD238" i="199"/>
  <c r="H126" i="207" s="1"/>
  <c r="AD234" i="199"/>
  <c r="AD228" i="199"/>
  <c r="H116" i="207" s="1"/>
  <c r="AD235" i="199"/>
  <c r="AD241" i="199"/>
  <c r="H129" i="207" s="1"/>
  <c r="AD231" i="199"/>
  <c r="H119" i="207" s="1"/>
  <c r="AC228" i="199"/>
  <c r="G116" i="207" s="1"/>
  <c r="AD237" i="199"/>
  <c r="H125" i="207" s="1"/>
  <c r="AD233" i="199"/>
  <c r="AC231" i="199"/>
  <c r="G119" i="207" s="1"/>
  <c r="AA232" i="199"/>
  <c r="J120" i="207" s="1"/>
  <c r="J125" i="207"/>
  <c r="AD229" i="199"/>
  <c r="H117" i="207" s="1"/>
  <c r="AD236" i="199"/>
  <c r="H124" i="207" s="1"/>
  <c r="AD232" i="199"/>
  <c r="H120" i="207" s="1"/>
  <c r="AC229" i="199"/>
  <c r="G117" i="207" s="1"/>
  <c r="AD242" i="199"/>
  <c r="H130" i="207" s="1"/>
  <c r="AA236" i="199"/>
  <c r="J124" i="207" s="1"/>
  <c r="D24" i="199"/>
  <c r="AD9" i="199"/>
  <c r="H9" i="207" s="1"/>
  <c r="AD5" i="199"/>
  <c r="H5" i="207" s="1"/>
  <c r="AD13" i="199"/>
  <c r="H13" i="207" s="1"/>
  <c r="AD8" i="199"/>
  <c r="H8" i="207" s="1"/>
  <c r="AD4" i="199"/>
  <c r="H4" i="207" s="1"/>
  <c r="AD11" i="199"/>
  <c r="H11" i="207" s="1"/>
  <c r="AD7" i="199"/>
  <c r="H7" i="207" s="1"/>
  <c r="AD14" i="199"/>
  <c r="H14" i="207" s="1"/>
  <c r="AA8" i="199"/>
  <c r="J8" i="207" s="1"/>
  <c r="AD18" i="199"/>
  <c r="H18" i="207" s="1"/>
  <c r="AD12" i="199"/>
  <c r="H12" i="207" s="1"/>
  <c r="AD17" i="199"/>
  <c r="H17" i="207" s="1"/>
  <c r="AD10" i="199"/>
  <c r="H10" i="207" s="1"/>
  <c r="AD6" i="199"/>
  <c r="H6" i="207" s="1"/>
  <c r="D281" i="199"/>
  <c r="AD267" i="199"/>
  <c r="AC262" i="199"/>
  <c r="G134" i="207" s="1"/>
  <c r="AD260" i="199"/>
  <c r="H132" i="207" s="1"/>
  <c r="AA268" i="199"/>
  <c r="J140" i="207" s="1"/>
  <c r="AD270" i="199"/>
  <c r="H142" i="207" s="1"/>
  <c r="AD266" i="199"/>
  <c r="AD263" i="199"/>
  <c r="H135" i="207" s="1"/>
  <c r="AC260" i="199"/>
  <c r="G132" i="207" s="1"/>
  <c r="AD273" i="199"/>
  <c r="H145" i="207" s="1"/>
  <c r="AD265" i="199"/>
  <c r="AC263" i="199"/>
  <c r="G135" i="207" s="1"/>
  <c r="AA264" i="199"/>
  <c r="J136" i="207" s="1"/>
  <c r="AD269" i="199"/>
  <c r="H141" i="207" s="1"/>
  <c r="AD261" i="199"/>
  <c r="H133" i="207" s="1"/>
  <c r="J141" i="207"/>
  <c r="AD264" i="199"/>
  <c r="H136" i="207" s="1"/>
  <c r="AC261" i="199"/>
  <c r="G133" i="207" s="1"/>
  <c r="AD274" i="199"/>
  <c r="H146" i="207" s="1"/>
  <c r="AD262" i="199"/>
  <c r="H134" i="207" s="1"/>
  <c r="AD268" i="199"/>
  <c r="H140" i="207" s="1"/>
  <c r="G16" i="200"/>
  <c r="D89" i="199"/>
  <c r="AD68" i="199"/>
  <c r="H36" i="207" s="1"/>
  <c r="AD81" i="199"/>
  <c r="H49" i="207" s="1"/>
  <c r="AD78" i="199"/>
  <c r="H46" i="207" s="1"/>
  <c r="AD74" i="199"/>
  <c r="AD71" i="199"/>
  <c r="H39" i="207" s="1"/>
  <c r="AC68" i="199"/>
  <c r="G36" i="207" s="1"/>
  <c r="AD73" i="199"/>
  <c r="AC71" i="199"/>
  <c r="G39" i="207" s="1"/>
  <c r="AD76" i="199"/>
  <c r="H44" i="207" s="1"/>
  <c r="AD75" i="199"/>
  <c r="AD77" i="199"/>
  <c r="H45" i="207" s="1"/>
  <c r="AD69" i="199"/>
  <c r="H37" i="207" s="1"/>
  <c r="J45" i="207"/>
  <c r="AC69" i="199"/>
  <c r="G37" i="207" s="1"/>
  <c r="AC70" i="199"/>
  <c r="G38" i="207" s="1"/>
  <c r="AD72" i="199"/>
  <c r="H40" i="207" s="1"/>
  <c r="AD82" i="199"/>
  <c r="H50" i="207" s="1"/>
  <c r="AA76" i="199"/>
  <c r="J44" i="207" s="1"/>
  <c r="AA72" i="199"/>
  <c r="J40" i="207" s="1"/>
  <c r="AD70" i="199"/>
  <c r="H38" i="207" s="1"/>
  <c r="AD49" i="199"/>
  <c r="H33" i="207" s="1"/>
  <c r="AD46" i="199"/>
  <c r="H30" i="207" s="1"/>
  <c r="AD42" i="199"/>
  <c r="AD39" i="199"/>
  <c r="H23" i="207" s="1"/>
  <c r="AC36" i="199"/>
  <c r="G20" i="207" s="1"/>
  <c r="AA40" i="199"/>
  <c r="J24" i="207" s="1"/>
  <c r="AD41" i="199"/>
  <c r="AC39" i="199"/>
  <c r="G23" i="207" s="1"/>
  <c r="AD45" i="199"/>
  <c r="H29" i="207" s="1"/>
  <c r="AD37" i="199"/>
  <c r="H21" i="207" s="1"/>
  <c r="AD50" i="199"/>
  <c r="H34" i="207" s="1"/>
  <c r="AD38" i="199"/>
  <c r="H22" i="207" s="1"/>
  <c r="AD40" i="199"/>
  <c r="H24" i="207" s="1"/>
  <c r="AC37" i="199"/>
  <c r="G21" i="207" s="1"/>
  <c r="AD36" i="199"/>
  <c r="H20" i="207" s="1"/>
  <c r="AD44" i="199"/>
  <c r="H28" i="207" s="1"/>
  <c r="AA44" i="199"/>
  <c r="J28" i="207" s="1"/>
  <c r="AD43" i="199"/>
  <c r="AC38" i="199"/>
  <c r="G22" i="207" s="1"/>
  <c r="D313" i="199"/>
  <c r="AD306" i="199"/>
  <c r="H162" i="207" s="1"/>
  <c r="AA300" i="199"/>
  <c r="J156" i="207" s="1"/>
  <c r="AA296" i="199"/>
  <c r="J152" i="207" s="1"/>
  <c r="AD294" i="199"/>
  <c r="H150" i="207" s="1"/>
  <c r="AD299" i="199"/>
  <c r="AC294" i="199"/>
  <c r="G150" i="207" s="1"/>
  <c r="AD292" i="199"/>
  <c r="H148" i="207" s="1"/>
  <c r="AD305" i="199"/>
  <c r="H161" i="207" s="1"/>
  <c r="AD302" i="199"/>
  <c r="H158" i="207" s="1"/>
  <c r="AD298" i="199"/>
  <c r="AD295" i="199"/>
  <c r="H151" i="207" s="1"/>
  <c r="AC292" i="199"/>
  <c r="G148" i="207" s="1"/>
  <c r="AD297" i="199"/>
  <c r="AC295" i="199"/>
  <c r="G151" i="207" s="1"/>
  <c r="AD301" i="199"/>
  <c r="H157" i="207" s="1"/>
  <c r="AD293" i="199"/>
  <c r="H149" i="207" s="1"/>
  <c r="J157" i="207"/>
  <c r="AD296" i="199"/>
  <c r="H152" i="207" s="1"/>
  <c r="AC293" i="199"/>
  <c r="G149" i="207" s="1"/>
  <c r="AD300" i="199"/>
  <c r="H156" i="207" s="1"/>
  <c r="G25" i="200"/>
  <c r="D57" i="199"/>
  <c r="C212" i="199"/>
  <c r="B212" i="199" s="1"/>
  <c r="Y199" i="199" s="1"/>
  <c r="D103" i="207" s="1"/>
  <c r="C242" i="199"/>
  <c r="B242" i="199" s="1"/>
  <c r="Y229" i="199" s="1"/>
  <c r="D117" i="207" s="1"/>
  <c r="C274" i="199"/>
  <c r="B274" i="199" s="1"/>
  <c r="Y261" i="199" s="1"/>
  <c r="D133" i="207" s="1"/>
  <c r="C243" i="199"/>
  <c r="B243" i="199" s="1"/>
  <c r="Y230" i="199" s="1"/>
  <c r="D118" i="207" s="1"/>
  <c r="C275" i="199"/>
  <c r="B275" i="199" s="1"/>
  <c r="Y262" i="199" s="1"/>
  <c r="D134" i="207" s="1"/>
  <c r="C244" i="199"/>
  <c r="B244" i="199" s="1"/>
  <c r="Y231" i="199" s="1"/>
  <c r="D119" i="207" s="1"/>
  <c r="C49" i="199"/>
  <c r="B49" i="199" s="1"/>
  <c r="Y36" i="199" s="1"/>
  <c r="D20" i="207" s="1"/>
  <c r="C113" i="199"/>
  <c r="B113" i="199" s="1"/>
  <c r="Y100" i="199" s="1"/>
  <c r="D52" i="207" s="1"/>
  <c r="C145" i="199"/>
  <c r="B145" i="199" s="1"/>
  <c r="Y132" i="199" s="1"/>
  <c r="D68" i="207" s="1"/>
  <c r="C50" i="199"/>
  <c r="B50" i="199" s="1"/>
  <c r="Y37" i="199" s="1"/>
  <c r="D21" i="207" s="1"/>
  <c r="C81" i="199"/>
  <c r="B81" i="199" s="1"/>
  <c r="Y68" i="199" s="1"/>
  <c r="D36" i="207" s="1"/>
  <c r="C114" i="199"/>
  <c r="B114" i="199" s="1"/>
  <c r="Y101" i="199" s="1"/>
  <c r="D53" i="207" s="1"/>
  <c r="C146" i="199"/>
  <c r="B146" i="199" s="1"/>
  <c r="Y133" i="199" s="1"/>
  <c r="D69" i="207" s="1"/>
  <c r="C51" i="199"/>
  <c r="B51" i="199" s="1"/>
  <c r="Y38" i="199" s="1"/>
  <c r="D22" i="207" s="1"/>
  <c r="C82" i="199"/>
  <c r="B82" i="199" s="1"/>
  <c r="Y69" i="199" s="1"/>
  <c r="D37" i="207" s="1"/>
  <c r="C115" i="199"/>
  <c r="B115" i="199" s="1"/>
  <c r="Y102" i="199" s="1"/>
  <c r="D54" i="207" s="1"/>
  <c r="C147" i="199"/>
  <c r="B147" i="199" s="1"/>
  <c r="Y134" i="199" s="1"/>
  <c r="D70" i="207" s="1"/>
  <c r="C83" i="199"/>
  <c r="B83" i="199" s="1"/>
  <c r="Y70" i="199" s="1"/>
  <c r="D38" i="207" s="1"/>
  <c r="C177" i="199"/>
  <c r="B177" i="199" s="1"/>
  <c r="Y164" i="199" s="1"/>
  <c r="D84" i="207" s="1"/>
  <c r="C178" i="199"/>
  <c r="B178" i="199" s="1"/>
  <c r="Y165" i="199" s="1"/>
  <c r="D85" i="207" s="1"/>
  <c r="C179" i="199"/>
  <c r="B179" i="199" s="1"/>
  <c r="Y166" i="199" s="1"/>
  <c r="D86" i="207" s="1"/>
  <c r="C209" i="199"/>
  <c r="B209" i="199" s="1"/>
  <c r="Y196" i="199" s="1"/>
  <c r="D100" i="207" s="1"/>
  <c r="C308" i="199"/>
  <c r="B308" i="199" s="1"/>
  <c r="Y295" i="199" s="1"/>
  <c r="D151" i="207" s="1"/>
  <c r="C305" i="199"/>
  <c r="B305" i="199" s="1"/>
  <c r="Y292" i="199" s="1"/>
  <c r="D148" i="207" s="1"/>
  <c r="C306" i="199"/>
  <c r="B306" i="199" s="1"/>
  <c r="Y293" i="199" s="1"/>
  <c r="D149" i="207" s="1"/>
  <c r="F52" i="199"/>
  <c r="F307" i="199"/>
  <c r="B299" i="199"/>
  <c r="B300" i="199"/>
  <c r="F276" i="199"/>
  <c r="F241" i="199"/>
  <c r="B203" i="199"/>
  <c r="F180" i="199"/>
  <c r="F148" i="199"/>
  <c r="B140" i="199"/>
  <c r="F116" i="199"/>
  <c r="F84" i="199"/>
  <c r="B267" i="199"/>
  <c r="B268" i="199"/>
  <c r="D248" i="199"/>
  <c r="B235" i="199"/>
  <c r="B236" i="199"/>
  <c r="F210" i="199"/>
  <c r="B171" i="199"/>
  <c r="B172" i="199"/>
  <c r="B107" i="199"/>
  <c r="B108" i="199"/>
  <c r="D88" i="199"/>
  <c r="Z82" i="199"/>
  <c r="B76" i="199"/>
  <c r="B43" i="199"/>
  <c r="B44" i="199"/>
  <c r="C17" i="199"/>
  <c r="B17" i="199" s="1"/>
  <c r="Y4" i="199" s="1"/>
  <c r="D4" i="207" s="1"/>
  <c r="C18" i="199"/>
  <c r="B18" i="199" s="1"/>
  <c r="Y5" i="199" s="1"/>
  <c r="D5" i="207" s="1"/>
  <c r="C20" i="199"/>
  <c r="B20" i="199" s="1"/>
  <c r="Y7" i="199" s="1"/>
  <c r="D7" i="207" s="1"/>
  <c r="B5" i="199"/>
  <c r="B6" i="199"/>
  <c r="AA13" i="199" s="1"/>
  <c r="D25" i="199"/>
  <c r="M12" i="199"/>
  <c r="N12" i="199" s="1"/>
  <c r="M11" i="199"/>
  <c r="N11" i="199" s="1"/>
  <c r="M10" i="199"/>
  <c r="N10" i="199" s="1"/>
  <c r="M9" i="199"/>
  <c r="N9" i="199" s="1"/>
  <c r="M8" i="199"/>
  <c r="N8" i="199" s="1"/>
  <c r="M7" i="199"/>
  <c r="N7" i="199" s="1"/>
  <c r="M6" i="199"/>
  <c r="N6" i="199" s="1"/>
  <c r="M5" i="199"/>
  <c r="N5" i="199" s="1"/>
  <c r="M4" i="199"/>
  <c r="N4" i="199" s="1"/>
  <c r="M3" i="199"/>
  <c r="K3" i="199"/>
  <c r="L3" i="199" s="1"/>
  <c r="B4" i="199" s="1"/>
  <c r="K12" i="199"/>
  <c r="L12" i="199" s="1"/>
  <c r="B292" i="199" s="1"/>
  <c r="D314" i="199" s="1"/>
  <c r="K11" i="199"/>
  <c r="L11" i="199" s="1"/>
  <c r="B260" i="199" s="1"/>
  <c r="K10" i="199"/>
  <c r="L10" i="199" s="1"/>
  <c r="B228" i="199" s="1"/>
  <c r="K9" i="199"/>
  <c r="L9" i="199" s="1"/>
  <c r="B196" i="199" s="1"/>
  <c r="K8" i="199"/>
  <c r="L8" i="199" s="1"/>
  <c r="B164" i="199" s="1"/>
  <c r="D186" i="199" s="1"/>
  <c r="K7" i="199"/>
  <c r="L7" i="199" s="1"/>
  <c r="B132" i="199" s="1"/>
  <c r="K6" i="199"/>
  <c r="L6" i="199" s="1"/>
  <c r="B100" i="199" s="1"/>
  <c r="K5" i="199"/>
  <c r="L5" i="199" s="1"/>
  <c r="B68" i="199" s="1"/>
  <c r="K4" i="199"/>
  <c r="L4" i="199" s="1"/>
  <c r="B36" i="199" s="1"/>
  <c r="Z18" i="199" l="1"/>
  <c r="B8" i="199"/>
  <c r="Y8" i="199" s="1"/>
  <c r="D8" i="207" s="1"/>
  <c r="N3" i="199"/>
  <c r="B9" i="199" s="1"/>
  <c r="AA14" i="199"/>
  <c r="J14" i="207" s="1"/>
  <c r="D16" i="211"/>
  <c r="Y16" i="199"/>
  <c r="D16" i="207" s="1"/>
  <c r="D144" i="211"/>
  <c r="Y272" i="199"/>
  <c r="D144" i="207" s="1"/>
  <c r="D18" i="211"/>
  <c r="Y18" i="199"/>
  <c r="D18" i="207" s="1"/>
  <c r="D50" i="211"/>
  <c r="Y82" i="199"/>
  <c r="D50" i="207" s="1"/>
  <c r="C57" i="199"/>
  <c r="F9" i="200" s="1"/>
  <c r="B9" i="200"/>
  <c r="C313" i="199"/>
  <c r="F33" i="200" s="1"/>
  <c r="B33" i="200"/>
  <c r="C185" i="199"/>
  <c r="F21" i="200" s="1"/>
  <c r="B21" i="200"/>
  <c r="C25" i="199"/>
  <c r="F6" i="200" s="1"/>
  <c r="B6" i="200"/>
  <c r="C281" i="199"/>
  <c r="F30" i="200" s="1"/>
  <c r="B30" i="200"/>
  <c r="C153" i="199"/>
  <c r="F18" i="200" s="1"/>
  <c r="B18" i="200"/>
  <c r="C249" i="199"/>
  <c r="F27" i="200" s="1"/>
  <c r="B27" i="200"/>
  <c r="C121" i="199"/>
  <c r="F15" i="200" s="1"/>
  <c r="B15" i="200"/>
  <c r="C217" i="199"/>
  <c r="F24" i="200" s="1"/>
  <c r="B24" i="200"/>
  <c r="C89" i="199"/>
  <c r="F12" i="200" s="1"/>
  <c r="B12" i="200"/>
  <c r="E281" i="209"/>
  <c r="H64" i="200" s="1"/>
  <c r="J64" i="200" s="1"/>
  <c r="F64" i="200"/>
  <c r="E249" i="209"/>
  <c r="H61" i="200" s="1"/>
  <c r="J61" i="200" s="1"/>
  <c r="F61" i="200"/>
  <c r="E88" i="209"/>
  <c r="H47" i="200" s="1"/>
  <c r="J47" i="200" s="1"/>
  <c r="F47" i="200"/>
  <c r="E185" i="209"/>
  <c r="H55" i="200" s="1"/>
  <c r="J55" i="200" s="1"/>
  <c r="F55" i="200"/>
  <c r="E280" i="209"/>
  <c r="H65" i="200" s="1"/>
  <c r="J65" i="200" s="1"/>
  <c r="F65" i="200"/>
  <c r="E24" i="209"/>
  <c r="H41" i="200" s="1"/>
  <c r="J41" i="200" s="1"/>
  <c r="F41" i="200"/>
  <c r="E57" i="209"/>
  <c r="H43" i="200" s="1"/>
  <c r="J43" i="200" s="1"/>
  <c r="F43" i="200"/>
  <c r="E248" i="209"/>
  <c r="H62" i="200" s="1"/>
  <c r="J62" i="200" s="1"/>
  <c r="F62" i="200"/>
  <c r="E153" i="209"/>
  <c r="H52" i="200" s="1"/>
  <c r="J52" i="200" s="1"/>
  <c r="F52" i="200"/>
  <c r="E152" i="209"/>
  <c r="H53" i="200" s="1"/>
  <c r="J53" i="200" s="1"/>
  <c r="F53" i="200"/>
  <c r="E89" i="209"/>
  <c r="H46" i="200" s="1"/>
  <c r="J46" i="200" s="1"/>
  <c r="F46" i="200"/>
  <c r="E56" i="209"/>
  <c r="H44" i="200" s="1"/>
  <c r="J44" i="200" s="1"/>
  <c r="F44" i="200"/>
  <c r="E217" i="209"/>
  <c r="H58" i="200" s="1"/>
  <c r="J58" i="200" s="1"/>
  <c r="F58" i="200"/>
  <c r="E184" i="209"/>
  <c r="H56" i="200" s="1"/>
  <c r="J56" i="200" s="1"/>
  <c r="F56" i="200"/>
  <c r="E313" i="209"/>
  <c r="H67" i="200" s="1"/>
  <c r="J67" i="200" s="1"/>
  <c r="F67" i="200"/>
  <c r="E216" i="209"/>
  <c r="H59" i="200" s="1"/>
  <c r="J59" i="200" s="1"/>
  <c r="F59" i="200"/>
  <c r="E25" i="209"/>
  <c r="H40" i="200" s="1"/>
  <c r="J40" i="200" s="1"/>
  <c r="F40" i="200"/>
  <c r="E312" i="209"/>
  <c r="H68" i="200" s="1"/>
  <c r="J68" i="200" s="1"/>
  <c r="F68" i="200"/>
  <c r="AA71" i="199"/>
  <c r="J39" i="207" s="1"/>
  <c r="AA103" i="199"/>
  <c r="J55" i="207" s="1"/>
  <c r="AA135" i="199"/>
  <c r="J71" i="207" s="1"/>
  <c r="AA167" i="199"/>
  <c r="J87" i="207" s="1"/>
  <c r="AA197" i="199"/>
  <c r="J101" i="207" s="1"/>
  <c r="AA228" i="199"/>
  <c r="J116" i="207" s="1"/>
  <c r="AA263" i="199"/>
  <c r="J135" i="207" s="1"/>
  <c r="AA39" i="199"/>
  <c r="J23" i="207" s="1"/>
  <c r="AA294" i="199"/>
  <c r="J150" i="207" s="1"/>
  <c r="Z178" i="199"/>
  <c r="B94" i="209"/>
  <c r="V5" i="209" s="1"/>
  <c r="X14" i="210" s="1"/>
  <c r="B286" i="209"/>
  <c r="V11" i="209" s="1"/>
  <c r="X32" i="210" s="1"/>
  <c r="B254" i="209"/>
  <c r="V10" i="209" s="1"/>
  <c r="X29" i="210" s="1"/>
  <c r="B62" i="209"/>
  <c r="V4" i="209" s="1"/>
  <c r="X11" i="210" s="1"/>
  <c r="B190" i="209"/>
  <c r="V8" i="209" s="1"/>
  <c r="X23" i="210" s="1"/>
  <c r="B222" i="209"/>
  <c r="V9" i="209" s="1"/>
  <c r="X26" i="210" s="1"/>
  <c r="B318" i="209"/>
  <c r="V12" i="209" s="1"/>
  <c r="X35" i="210" s="1"/>
  <c r="D26" i="199"/>
  <c r="AA17" i="199" s="1"/>
  <c r="J17" i="207" s="1"/>
  <c r="D90" i="199"/>
  <c r="AA81" i="199" s="1"/>
  <c r="J49" i="207" s="1"/>
  <c r="D122" i="199"/>
  <c r="AA113" i="199" s="1"/>
  <c r="J65" i="207" s="1"/>
  <c r="D154" i="199"/>
  <c r="AA145" i="199" s="1"/>
  <c r="J81" i="207" s="1"/>
  <c r="D250" i="199"/>
  <c r="E250" i="199" s="1"/>
  <c r="D218" i="199"/>
  <c r="AA209" i="199" s="1"/>
  <c r="J113" i="207" s="1"/>
  <c r="D282" i="199"/>
  <c r="AA273" i="199" s="1"/>
  <c r="J145" i="207" s="1"/>
  <c r="D58" i="199"/>
  <c r="AA49" i="199" s="1"/>
  <c r="J33" i="207" s="1"/>
  <c r="G10" i="200"/>
  <c r="Z112" i="199"/>
  <c r="Y112" i="199" s="1"/>
  <c r="Z114" i="199"/>
  <c r="AA234" i="199"/>
  <c r="J122" i="207" s="1"/>
  <c r="H122" i="207"/>
  <c r="AA298" i="199"/>
  <c r="J154" i="207" s="1"/>
  <c r="H154" i="207"/>
  <c r="AA267" i="199"/>
  <c r="J139" i="207" s="1"/>
  <c r="H139" i="207"/>
  <c r="AA203" i="199"/>
  <c r="J107" i="207" s="1"/>
  <c r="H107" i="207"/>
  <c r="AA107" i="199"/>
  <c r="J59" i="207" s="1"/>
  <c r="H59" i="207"/>
  <c r="AA139" i="199"/>
  <c r="J75" i="207" s="1"/>
  <c r="H75" i="207"/>
  <c r="AA233" i="199"/>
  <c r="J121" i="207" s="1"/>
  <c r="H121" i="207"/>
  <c r="AA201" i="199"/>
  <c r="J105" i="207" s="1"/>
  <c r="H105" i="207"/>
  <c r="AA171" i="199"/>
  <c r="J91" i="207" s="1"/>
  <c r="H91" i="207"/>
  <c r="AA169" i="199"/>
  <c r="J89" i="207" s="1"/>
  <c r="H89" i="207"/>
  <c r="AA137" i="199"/>
  <c r="J73" i="207" s="1"/>
  <c r="H73" i="207"/>
  <c r="AA265" i="199"/>
  <c r="J137" i="207" s="1"/>
  <c r="H137" i="207"/>
  <c r="AA74" i="199"/>
  <c r="J42" i="207" s="1"/>
  <c r="H42" i="207"/>
  <c r="AA105" i="199"/>
  <c r="J57" i="207" s="1"/>
  <c r="H57" i="207"/>
  <c r="AA299" i="199"/>
  <c r="J155" i="207" s="1"/>
  <c r="H155" i="207"/>
  <c r="AA75" i="199"/>
  <c r="J43" i="207" s="1"/>
  <c r="H43" i="207"/>
  <c r="AA202" i="199"/>
  <c r="J106" i="207" s="1"/>
  <c r="H106" i="207"/>
  <c r="AA170" i="199"/>
  <c r="J90" i="207" s="1"/>
  <c r="H90" i="207"/>
  <c r="AA138" i="199"/>
  <c r="J74" i="207" s="1"/>
  <c r="H74" i="207"/>
  <c r="AA297" i="199"/>
  <c r="J153" i="207" s="1"/>
  <c r="H153" i="207"/>
  <c r="AA266" i="199"/>
  <c r="J138" i="207" s="1"/>
  <c r="H138" i="207"/>
  <c r="AA235" i="199"/>
  <c r="J123" i="207" s="1"/>
  <c r="H123" i="207"/>
  <c r="AA73" i="199"/>
  <c r="J41" i="207" s="1"/>
  <c r="H41" i="207"/>
  <c r="AA106" i="199"/>
  <c r="J58" i="207" s="1"/>
  <c r="H58" i="207"/>
  <c r="F50" i="207"/>
  <c r="F16" i="207"/>
  <c r="F18" i="207"/>
  <c r="F144" i="207"/>
  <c r="AA43" i="199"/>
  <c r="J27" i="207" s="1"/>
  <c r="H27" i="207"/>
  <c r="AA41" i="199"/>
  <c r="J25" i="207" s="1"/>
  <c r="H25" i="207"/>
  <c r="AA42" i="199"/>
  <c r="J26" i="207" s="1"/>
  <c r="H26" i="207"/>
  <c r="G34" i="200"/>
  <c r="D180" i="199"/>
  <c r="E180" i="199" s="1"/>
  <c r="G180" i="199" s="1"/>
  <c r="AA177" i="199"/>
  <c r="J97" i="207" s="1"/>
  <c r="D307" i="199"/>
  <c r="Z294" i="199" s="1"/>
  <c r="F150" i="207" s="1"/>
  <c r="AA305" i="199"/>
  <c r="J161" i="207" s="1"/>
  <c r="D19" i="199"/>
  <c r="Z6" i="199" s="1"/>
  <c r="F6" i="207" s="1"/>
  <c r="AC4" i="199"/>
  <c r="G4" i="207" s="1"/>
  <c r="D241" i="199"/>
  <c r="Z228" i="199" s="1"/>
  <c r="F116" i="207" s="1"/>
  <c r="D84" i="199"/>
  <c r="E84" i="199" s="1"/>
  <c r="G84" i="199" s="1"/>
  <c r="D276" i="199"/>
  <c r="E276" i="199" s="1"/>
  <c r="G276" i="199" s="1"/>
  <c r="F211" i="199"/>
  <c r="Z17" i="199"/>
  <c r="G19" i="200"/>
  <c r="F274" i="199"/>
  <c r="D148" i="199"/>
  <c r="E148" i="199" s="1"/>
  <c r="G148" i="199" s="1"/>
  <c r="F243" i="199"/>
  <c r="F81" i="199"/>
  <c r="F273" i="199"/>
  <c r="D210" i="199"/>
  <c r="E210" i="199" s="1"/>
  <c r="G210" i="199" s="1"/>
  <c r="F49" i="199"/>
  <c r="F147" i="199"/>
  <c r="F51" i="199"/>
  <c r="B205" i="199"/>
  <c r="F146" i="199"/>
  <c r="F178" i="199"/>
  <c r="F179" i="199"/>
  <c r="AB296" i="199"/>
  <c r="I152" i="207" s="1"/>
  <c r="AC6" i="199"/>
  <c r="G6" i="207" s="1"/>
  <c r="AB232" i="199"/>
  <c r="I120" i="207" s="1"/>
  <c r="AA10" i="199"/>
  <c r="J10" i="207" s="1"/>
  <c r="AB168" i="199"/>
  <c r="I88" i="207" s="1"/>
  <c r="AA9" i="199"/>
  <c r="J9" i="207" s="1"/>
  <c r="AB40" i="199"/>
  <c r="I24" i="207" s="1"/>
  <c r="AB104" i="199"/>
  <c r="I56" i="207" s="1"/>
  <c r="AB264" i="199"/>
  <c r="I136" i="207" s="1"/>
  <c r="AB200" i="199"/>
  <c r="I104" i="207" s="1"/>
  <c r="B141" i="199"/>
  <c r="AB136" i="199"/>
  <c r="I72" i="207" s="1"/>
  <c r="AC5" i="199"/>
  <c r="G5" i="207" s="1"/>
  <c r="AC7" i="199"/>
  <c r="G7" i="207" s="1"/>
  <c r="J13" i="207"/>
  <c r="B77" i="199"/>
  <c r="AB72" i="199"/>
  <c r="I40" i="207" s="1"/>
  <c r="AA12" i="199"/>
  <c r="J12" i="207" s="1"/>
  <c r="F114" i="199"/>
  <c r="F275" i="199"/>
  <c r="Z49" i="199"/>
  <c r="Z81" i="199"/>
  <c r="Z305" i="199"/>
  <c r="Z113" i="199"/>
  <c r="Z241" i="199"/>
  <c r="AA240" i="199"/>
  <c r="G27" i="200"/>
  <c r="AA18" i="199"/>
  <c r="J18" i="207" s="1"/>
  <c r="G7" i="200"/>
  <c r="AA208" i="199"/>
  <c r="G24" i="200"/>
  <c r="AA176" i="199"/>
  <c r="G21" i="200"/>
  <c r="AA82" i="199"/>
  <c r="J50" i="207" s="1"/>
  <c r="G13" i="200"/>
  <c r="AA242" i="199"/>
  <c r="J130" i="207" s="1"/>
  <c r="G28" i="200"/>
  <c r="AA16" i="199"/>
  <c r="J16" i="207" s="1"/>
  <c r="G6" i="200"/>
  <c r="AA304" i="199"/>
  <c r="G33" i="200"/>
  <c r="AA80" i="199"/>
  <c r="G12" i="200"/>
  <c r="AA48" i="199"/>
  <c r="G9" i="200"/>
  <c r="AA144" i="199"/>
  <c r="G18" i="200"/>
  <c r="AA272" i="199"/>
  <c r="G30" i="200"/>
  <c r="AA112" i="199"/>
  <c r="G15" i="200"/>
  <c r="B22" i="200"/>
  <c r="Z176" i="199"/>
  <c r="B13" i="200"/>
  <c r="Z80" i="199"/>
  <c r="B7" i="200"/>
  <c r="B16" i="200"/>
  <c r="D242" i="199"/>
  <c r="D212" i="199"/>
  <c r="F50" i="199"/>
  <c r="F306" i="199"/>
  <c r="F113" i="199"/>
  <c r="F305" i="199"/>
  <c r="F82" i="199"/>
  <c r="F209" i="199"/>
  <c r="F83" i="199"/>
  <c r="F308" i="199"/>
  <c r="F244" i="199"/>
  <c r="F115" i="199"/>
  <c r="F242" i="199"/>
  <c r="F145" i="199"/>
  <c r="F177" i="199"/>
  <c r="D113" i="199"/>
  <c r="D305" i="199"/>
  <c r="Z144" i="199"/>
  <c r="Z146" i="199"/>
  <c r="D274" i="199"/>
  <c r="B73" i="199"/>
  <c r="B72" i="199"/>
  <c r="Y72" i="199" s="1"/>
  <c r="D40" i="207" s="1"/>
  <c r="D243" i="199"/>
  <c r="D211" i="199"/>
  <c r="B169" i="199"/>
  <c r="B168" i="199"/>
  <c r="Y168" i="199" s="1"/>
  <c r="D88" i="207" s="1"/>
  <c r="D51" i="199"/>
  <c r="D83" i="199"/>
  <c r="Z242" i="199"/>
  <c r="Z240" i="199"/>
  <c r="D50" i="199"/>
  <c r="Z306" i="199"/>
  <c r="Z304" i="199"/>
  <c r="D145" i="199"/>
  <c r="D52" i="199"/>
  <c r="B233" i="199"/>
  <c r="B232" i="199"/>
  <c r="Y232" i="199" s="1"/>
  <c r="D120" i="207" s="1"/>
  <c r="D49" i="199"/>
  <c r="D275" i="199"/>
  <c r="D308" i="199"/>
  <c r="D147" i="199"/>
  <c r="B265" i="199"/>
  <c r="B264" i="199"/>
  <c r="Y264" i="199" s="1"/>
  <c r="D136" i="207" s="1"/>
  <c r="D273" i="199"/>
  <c r="D209" i="199"/>
  <c r="D115" i="199"/>
  <c r="B105" i="199"/>
  <c r="B104" i="199"/>
  <c r="Y104" i="199" s="1"/>
  <c r="D56" i="207" s="1"/>
  <c r="Z50" i="199"/>
  <c r="B201" i="199"/>
  <c r="B200" i="199"/>
  <c r="Y200" i="199" s="1"/>
  <c r="D104" i="207" s="1"/>
  <c r="B45" i="199"/>
  <c r="D179" i="199"/>
  <c r="D82" i="199"/>
  <c r="D244" i="199"/>
  <c r="D116" i="199"/>
  <c r="B137" i="199"/>
  <c r="B136" i="199"/>
  <c r="Y136" i="199" s="1"/>
  <c r="D72" i="207" s="1"/>
  <c r="D114" i="199"/>
  <c r="F212" i="199"/>
  <c r="D178" i="199"/>
  <c r="D146" i="199"/>
  <c r="Z210" i="199"/>
  <c r="Z208" i="199"/>
  <c r="Z274" i="199"/>
  <c r="B41" i="199"/>
  <c r="B40" i="199"/>
  <c r="Y40" i="199" s="1"/>
  <c r="D24" i="207" s="1"/>
  <c r="D306" i="199"/>
  <c r="D177" i="199"/>
  <c r="D81" i="199"/>
  <c r="B297" i="199"/>
  <c r="B296" i="199"/>
  <c r="Y296" i="199" s="1"/>
  <c r="D152" i="207" s="1"/>
  <c r="B301" i="199"/>
  <c r="B237" i="199"/>
  <c r="B269" i="199"/>
  <c r="B173" i="199"/>
  <c r="B109" i="199"/>
  <c r="F20" i="199"/>
  <c r="F18" i="199"/>
  <c r="F17" i="199"/>
  <c r="F19" i="199"/>
  <c r="D20" i="199"/>
  <c r="Z7" i="199" s="1"/>
  <c r="F7" i="207" s="1"/>
  <c r="D18" i="199"/>
  <c r="Z5" i="199" s="1"/>
  <c r="F5" i="207" s="1"/>
  <c r="B11" i="199"/>
  <c r="B12" i="199"/>
  <c r="D17" i="199"/>
  <c r="Z4" i="199" s="1"/>
  <c r="F4" i="207" s="1"/>
  <c r="AK13" i="198"/>
  <c r="AK12" i="198"/>
  <c r="AK11" i="198"/>
  <c r="AK10" i="198"/>
  <c r="AK9" i="198"/>
  <c r="AK8" i="198"/>
  <c r="AK7" i="198"/>
  <c r="AK6" i="198"/>
  <c r="AK5" i="198"/>
  <c r="AK4" i="198"/>
  <c r="F45" i="200" l="1"/>
  <c r="H45" i="200" s="1"/>
  <c r="J45" i="200" s="1"/>
  <c r="D34" i="211"/>
  <c r="Y50" i="199"/>
  <c r="D34" i="207" s="1"/>
  <c r="D146" i="211"/>
  <c r="Y274" i="199"/>
  <c r="D146" i="207" s="1"/>
  <c r="D161" i="211"/>
  <c r="Y305" i="199"/>
  <c r="D161" i="207" s="1"/>
  <c r="D33" i="211"/>
  <c r="Y49" i="199"/>
  <c r="D33" i="207" s="1"/>
  <c r="D48" i="211"/>
  <c r="Y80" i="199"/>
  <c r="D48" i="207" s="1"/>
  <c r="D66" i="211"/>
  <c r="Y114" i="199"/>
  <c r="D66" i="207" s="1"/>
  <c r="D17" i="211"/>
  <c r="Y17" i="199"/>
  <c r="D17" i="207" s="1"/>
  <c r="D160" i="211"/>
  <c r="Y304" i="199"/>
  <c r="D96" i="211"/>
  <c r="Y176" i="199"/>
  <c r="D96" i="207" s="1"/>
  <c r="D162" i="211"/>
  <c r="Y306" i="199"/>
  <c r="D162" i="207" s="1"/>
  <c r="D82" i="211"/>
  <c r="Y146" i="199"/>
  <c r="D82" i="207" s="1"/>
  <c r="D128" i="211"/>
  <c r="Y240" i="199"/>
  <c r="D128" i="207" s="1"/>
  <c r="D80" i="211"/>
  <c r="Y144" i="199"/>
  <c r="D80" i="207" s="1"/>
  <c r="D49" i="211"/>
  <c r="Y81" i="199"/>
  <c r="D130" i="211"/>
  <c r="Y242" i="199"/>
  <c r="D130" i="207" s="1"/>
  <c r="D112" i="211"/>
  <c r="Y208" i="199"/>
  <c r="D112" i="207" s="1"/>
  <c r="D129" i="211"/>
  <c r="Y241" i="199"/>
  <c r="D129" i="207" s="1"/>
  <c r="D98" i="211"/>
  <c r="Y178" i="199"/>
  <c r="D98" i="207" s="1"/>
  <c r="D114" i="211"/>
  <c r="Y210" i="199"/>
  <c r="D114" i="207" s="1"/>
  <c r="D65" i="211"/>
  <c r="Y113" i="199"/>
  <c r="D65" i="207" s="1"/>
  <c r="F57" i="200"/>
  <c r="H57" i="200" s="1"/>
  <c r="J57" i="200" s="1"/>
  <c r="F63" i="200"/>
  <c r="H63" i="200" s="1"/>
  <c r="J63" i="200" s="1"/>
  <c r="F54" i="200"/>
  <c r="H54" i="200" s="1"/>
  <c r="J54" i="200" s="1"/>
  <c r="F60" i="200"/>
  <c r="H60" i="200" s="1"/>
  <c r="J60" i="200" s="1"/>
  <c r="F98" i="207"/>
  <c r="F66" i="200"/>
  <c r="H66" i="200" s="1"/>
  <c r="J66" i="200" s="1"/>
  <c r="F42" i="200"/>
  <c r="H42" i="200" s="1"/>
  <c r="J42" i="200" s="1"/>
  <c r="AA70" i="199"/>
  <c r="J38" i="207" s="1"/>
  <c r="AA260" i="199"/>
  <c r="J132" i="207" s="1"/>
  <c r="AA295" i="199"/>
  <c r="J151" i="207" s="1"/>
  <c r="AA196" i="199"/>
  <c r="J100" i="207" s="1"/>
  <c r="AA68" i="199"/>
  <c r="J36" i="207" s="1"/>
  <c r="AA6" i="199"/>
  <c r="J6" i="207" s="1"/>
  <c r="AA4" i="199"/>
  <c r="J4" i="207" s="1"/>
  <c r="AA5" i="199"/>
  <c r="J5" i="207" s="1"/>
  <c r="AA69" i="199"/>
  <c r="J37" i="207" s="1"/>
  <c r="AA230" i="199"/>
  <c r="J118" i="207" s="1"/>
  <c r="AA292" i="199"/>
  <c r="J148" i="207" s="1"/>
  <c r="AA100" i="199"/>
  <c r="J52" i="207" s="1"/>
  <c r="AA166" i="199"/>
  <c r="J86" i="207" s="1"/>
  <c r="AA261" i="199"/>
  <c r="J133" i="207" s="1"/>
  <c r="AA293" i="199"/>
  <c r="J149" i="207" s="1"/>
  <c r="AA165" i="199"/>
  <c r="J85" i="207" s="1"/>
  <c r="AA164" i="199"/>
  <c r="J84" i="207" s="1"/>
  <c r="AA37" i="199"/>
  <c r="J21" i="207" s="1"/>
  <c r="AA133" i="199"/>
  <c r="J69" i="207" s="1"/>
  <c r="AA132" i="199"/>
  <c r="J68" i="207" s="1"/>
  <c r="AA198" i="199"/>
  <c r="J102" i="207" s="1"/>
  <c r="AA229" i="199"/>
  <c r="J117" i="207" s="1"/>
  <c r="AA262" i="199"/>
  <c r="J134" i="207" s="1"/>
  <c r="AA38" i="199"/>
  <c r="J22" i="207" s="1"/>
  <c r="AA199" i="199"/>
  <c r="J103" i="207" s="1"/>
  <c r="AA102" i="199"/>
  <c r="J54" i="207" s="1"/>
  <c r="AA101" i="199"/>
  <c r="J53" i="207" s="1"/>
  <c r="AA134" i="199"/>
  <c r="J70" i="207" s="1"/>
  <c r="AA7" i="199"/>
  <c r="J7" i="207" s="1"/>
  <c r="AA231" i="199"/>
  <c r="J119" i="207" s="1"/>
  <c r="AA36" i="199"/>
  <c r="J20" i="207" s="1"/>
  <c r="E90" i="199"/>
  <c r="A148" i="211"/>
  <c r="A100" i="211"/>
  <c r="A84" i="211"/>
  <c r="A20" i="211"/>
  <c r="A116" i="211"/>
  <c r="A132" i="211"/>
  <c r="A36" i="211"/>
  <c r="E122" i="199"/>
  <c r="D64" i="207"/>
  <c r="D64" i="211"/>
  <c r="F66" i="207"/>
  <c r="E58" i="199"/>
  <c r="AA241" i="199"/>
  <c r="J129" i="207" s="1"/>
  <c r="F64" i="207"/>
  <c r="D239" i="199"/>
  <c r="B239" i="199" s="1"/>
  <c r="B234" i="199"/>
  <c r="B238" i="199" s="1"/>
  <c r="D303" i="199"/>
  <c r="B303" i="199" s="1"/>
  <c r="B298" i="199"/>
  <c r="B74" i="199"/>
  <c r="B78" i="199" s="1"/>
  <c r="D79" i="199"/>
  <c r="B79" i="199" s="1"/>
  <c r="D271" i="199"/>
  <c r="B271" i="199" s="1"/>
  <c r="B266" i="199"/>
  <c r="B270" i="199" s="1"/>
  <c r="D47" i="199"/>
  <c r="B47" i="199" s="1"/>
  <c r="B42" i="199"/>
  <c r="B46" i="199" s="1"/>
  <c r="D15" i="199"/>
  <c r="B15" i="199" s="1"/>
  <c r="D143" i="199"/>
  <c r="B143" i="199" s="1"/>
  <c r="B138" i="199"/>
  <c r="B142" i="199" s="1"/>
  <c r="D207" i="199"/>
  <c r="B207" i="199" s="1"/>
  <c r="B202" i="199"/>
  <c r="B206" i="199" s="1"/>
  <c r="D111" i="199"/>
  <c r="B111" i="199" s="1"/>
  <c r="B106" i="199"/>
  <c r="B110" i="199" s="1"/>
  <c r="D175" i="199"/>
  <c r="B175" i="199" s="1"/>
  <c r="B170" i="199"/>
  <c r="B174" i="199" s="1"/>
  <c r="P52" i="207"/>
  <c r="P68" i="207"/>
  <c r="P20" i="207"/>
  <c r="P36" i="207"/>
  <c r="P116" i="207"/>
  <c r="P132" i="207"/>
  <c r="P100" i="207"/>
  <c r="P148" i="207"/>
  <c r="P84" i="207"/>
  <c r="P4" i="207"/>
  <c r="E314" i="199"/>
  <c r="AD80" i="199"/>
  <c r="H48" i="207" s="1"/>
  <c r="J48" i="207"/>
  <c r="AD304" i="199"/>
  <c r="H160" i="207" s="1"/>
  <c r="J160" i="207"/>
  <c r="AD112" i="199"/>
  <c r="H64" i="207" s="1"/>
  <c r="J64" i="207"/>
  <c r="AD240" i="199"/>
  <c r="H128" i="207" s="1"/>
  <c r="J128" i="207"/>
  <c r="AD208" i="199"/>
  <c r="H112" i="207" s="1"/>
  <c r="J112" i="207"/>
  <c r="AD272" i="199"/>
  <c r="H144" i="207" s="1"/>
  <c r="J144" i="207"/>
  <c r="AD176" i="199"/>
  <c r="H96" i="207" s="1"/>
  <c r="J96" i="207"/>
  <c r="AD144" i="199"/>
  <c r="H80" i="207" s="1"/>
  <c r="J80" i="207"/>
  <c r="D49" i="207"/>
  <c r="F49" i="207"/>
  <c r="D160" i="207"/>
  <c r="F160" i="207"/>
  <c r="F17" i="207"/>
  <c r="F146" i="207"/>
  <c r="F112" i="207"/>
  <c r="F162" i="207"/>
  <c r="F129" i="207"/>
  <c r="F82" i="207"/>
  <c r="F130" i="207"/>
  <c r="F48" i="207"/>
  <c r="F65" i="207"/>
  <c r="F128" i="207"/>
  <c r="F80" i="207"/>
  <c r="F114" i="207"/>
  <c r="F96" i="207"/>
  <c r="F161" i="207"/>
  <c r="F34" i="207"/>
  <c r="AD48" i="199"/>
  <c r="H32" i="207" s="1"/>
  <c r="J32" i="207"/>
  <c r="F33" i="207"/>
  <c r="Z167" i="199"/>
  <c r="F87" i="207" s="1"/>
  <c r="E307" i="199"/>
  <c r="G307" i="199" s="1"/>
  <c r="E241" i="199"/>
  <c r="G241" i="199" s="1"/>
  <c r="Z263" i="199"/>
  <c r="F135" i="207" s="1"/>
  <c r="Z71" i="199"/>
  <c r="F39" i="207" s="1"/>
  <c r="Z135" i="199"/>
  <c r="F71" i="207" s="1"/>
  <c r="Z197" i="199"/>
  <c r="F101" i="207" s="1"/>
  <c r="O6" i="199"/>
  <c r="B14" i="200" s="1"/>
  <c r="O8" i="199"/>
  <c r="B20" i="200" s="1"/>
  <c r="O9" i="199"/>
  <c r="B23" i="200" s="1"/>
  <c r="O10" i="199"/>
  <c r="B26" i="200" s="1"/>
  <c r="O11" i="199"/>
  <c r="B29" i="200" s="1"/>
  <c r="O5" i="199"/>
  <c r="B11" i="200" s="1"/>
  <c r="AB8" i="199"/>
  <c r="I8" i="207" s="1"/>
  <c r="E306" i="199"/>
  <c r="G306" i="199" s="1"/>
  <c r="Z293" i="199"/>
  <c r="F149" i="207" s="1"/>
  <c r="E116" i="199"/>
  <c r="G116" i="199" s="1"/>
  <c r="Z103" i="199"/>
  <c r="F55" i="207" s="1"/>
  <c r="E83" i="199"/>
  <c r="G83" i="199" s="1"/>
  <c r="Z70" i="199"/>
  <c r="F38" i="207" s="1"/>
  <c r="E113" i="199"/>
  <c r="G113" i="199" s="1"/>
  <c r="Z100" i="199"/>
  <c r="F52" i="207" s="1"/>
  <c r="E242" i="199"/>
  <c r="G242" i="199" s="1"/>
  <c r="Z229" i="199"/>
  <c r="F117" i="207" s="1"/>
  <c r="E273" i="199"/>
  <c r="G273" i="199" s="1"/>
  <c r="Z260" i="199"/>
  <c r="F132" i="207" s="1"/>
  <c r="E178" i="199"/>
  <c r="G178" i="199" s="1"/>
  <c r="Z165" i="199"/>
  <c r="F85" i="207" s="1"/>
  <c r="E244" i="199"/>
  <c r="G244" i="199" s="1"/>
  <c r="Z231" i="199"/>
  <c r="F119" i="207" s="1"/>
  <c r="E52" i="199"/>
  <c r="G52" i="199" s="1"/>
  <c r="Z39" i="199"/>
  <c r="F23" i="207" s="1"/>
  <c r="E274" i="199"/>
  <c r="G274" i="199" s="1"/>
  <c r="Z261" i="199"/>
  <c r="F133" i="207" s="1"/>
  <c r="E82" i="199"/>
  <c r="G82" i="199" s="1"/>
  <c r="Z69" i="199"/>
  <c r="F37" i="207" s="1"/>
  <c r="E147" i="199"/>
  <c r="G147" i="199" s="1"/>
  <c r="Z134" i="199"/>
  <c r="F70" i="207" s="1"/>
  <c r="E145" i="199"/>
  <c r="G145" i="199" s="1"/>
  <c r="Z132" i="199"/>
  <c r="F68" i="207" s="1"/>
  <c r="E51" i="199"/>
  <c r="G51" i="199" s="1"/>
  <c r="Z38" i="199"/>
  <c r="F22" i="207" s="1"/>
  <c r="E114" i="199"/>
  <c r="G114" i="199" s="1"/>
  <c r="Z101" i="199"/>
  <c r="F53" i="207" s="1"/>
  <c r="E308" i="199"/>
  <c r="G308" i="199" s="1"/>
  <c r="Z295" i="199"/>
  <c r="F151" i="207" s="1"/>
  <c r="E212" i="199"/>
  <c r="G212" i="199" s="1"/>
  <c r="Z199" i="199"/>
  <c r="F103" i="207" s="1"/>
  <c r="E179" i="199"/>
  <c r="G179" i="199" s="1"/>
  <c r="Z166" i="199"/>
  <c r="F86" i="207" s="1"/>
  <c r="E275" i="199"/>
  <c r="G275" i="199" s="1"/>
  <c r="Z262" i="199"/>
  <c r="F134" i="207" s="1"/>
  <c r="E81" i="199"/>
  <c r="G81" i="199" s="1"/>
  <c r="Z68" i="199"/>
  <c r="F36" i="207" s="1"/>
  <c r="E115" i="199"/>
  <c r="G115" i="199" s="1"/>
  <c r="Z102" i="199"/>
  <c r="F54" i="207" s="1"/>
  <c r="E50" i="199"/>
  <c r="G50" i="199" s="1"/>
  <c r="Z37" i="199"/>
  <c r="F21" i="207" s="1"/>
  <c r="E211" i="199"/>
  <c r="G211" i="199" s="1"/>
  <c r="Z198" i="199"/>
  <c r="F102" i="207" s="1"/>
  <c r="E305" i="199"/>
  <c r="G305" i="199" s="1"/>
  <c r="Z292" i="199"/>
  <c r="F148" i="207" s="1"/>
  <c r="E146" i="199"/>
  <c r="G146" i="199" s="1"/>
  <c r="Z133" i="199"/>
  <c r="F69" i="207" s="1"/>
  <c r="E177" i="199"/>
  <c r="G177" i="199" s="1"/>
  <c r="Z164" i="199"/>
  <c r="F84" i="207" s="1"/>
  <c r="E209" i="199"/>
  <c r="G209" i="199" s="1"/>
  <c r="Z196" i="199"/>
  <c r="F100" i="207" s="1"/>
  <c r="E49" i="199"/>
  <c r="G49" i="199" s="1"/>
  <c r="Z36" i="199"/>
  <c r="F20" i="207" s="1"/>
  <c r="E243" i="199"/>
  <c r="G243" i="199" s="1"/>
  <c r="Z230" i="199"/>
  <c r="F118" i="207" s="1"/>
  <c r="Z72" i="199"/>
  <c r="F40" i="207" s="1"/>
  <c r="Z264" i="199"/>
  <c r="F136" i="207" s="1"/>
  <c r="O12" i="199"/>
  <c r="B32" i="200" s="1"/>
  <c r="Z8" i="199"/>
  <c r="F8" i="207" s="1"/>
  <c r="Z232" i="199"/>
  <c r="F120" i="207" s="1"/>
  <c r="Z40" i="199"/>
  <c r="F24" i="207" s="1"/>
  <c r="Z136" i="199"/>
  <c r="F72" i="207" s="1"/>
  <c r="Z200" i="199"/>
  <c r="F104" i="207" s="1"/>
  <c r="Z104" i="199"/>
  <c r="F56" i="207" s="1"/>
  <c r="Z296" i="199"/>
  <c r="F152" i="207" s="1"/>
  <c r="Z168" i="199"/>
  <c r="F88" i="207" s="1"/>
  <c r="E25" i="199"/>
  <c r="E154" i="199"/>
  <c r="Z145" i="199"/>
  <c r="E120" i="199"/>
  <c r="H16" i="200" s="1"/>
  <c r="E184" i="199"/>
  <c r="H22" i="200" s="1"/>
  <c r="E121" i="199"/>
  <c r="Z48" i="199"/>
  <c r="E282" i="199"/>
  <c r="Z273" i="199"/>
  <c r="E88" i="199"/>
  <c r="H13" i="200" s="1"/>
  <c r="E24" i="199"/>
  <c r="H7" i="200" s="1"/>
  <c r="E218" i="199"/>
  <c r="Z209" i="199"/>
  <c r="E186" i="199"/>
  <c r="Z177" i="199"/>
  <c r="E281" i="199"/>
  <c r="B25" i="200"/>
  <c r="B34" i="200"/>
  <c r="B19" i="200"/>
  <c r="B31" i="200"/>
  <c r="B28" i="200"/>
  <c r="B10" i="200"/>
  <c r="O4" i="199"/>
  <c r="B8" i="200" s="1"/>
  <c r="O7" i="199"/>
  <c r="B17" i="200" s="1"/>
  <c r="B13" i="199"/>
  <c r="O3" i="199"/>
  <c r="B5" i="200" s="1"/>
  <c r="C23" i="202"/>
  <c r="B23" i="202"/>
  <c r="D81" i="211" l="1"/>
  <c r="Y145" i="199"/>
  <c r="D81" i="207" s="1"/>
  <c r="D97" i="211"/>
  <c r="Y177" i="199"/>
  <c r="D97" i="207" s="1"/>
  <c r="D113" i="211"/>
  <c r="Y209" i="199"/>
  <c r="D113" i="207" s="1"/>
  <c r="D32" i="211"/>
  <c r="Y48" i="199"/>
  <c r="D32" i="207" s="1"/>
  <c r="D145" i="211"/>
  <c r="Y273" i="199"/>
  <c r="D145" i="207" s="1"/>
  <c r="B126" i="199"/>
  <c r="B286" i="199"/>
  <c r="B190" i="199"/>
  <c r="B254" i="199"/>
  <c r="V10" i="199" s="1"/>
  <c r="X29" i="198" s="1"/>
  <c r="F26" i="200" s="1"/>
  <c r="B222" i="199"/>
  <c r="B158" i="199"/>
  <c r="V7" i="199" s="1"/>
  <c r="X20" i="198" s="1"/>
  <c r="F17" i="200" s="1"/>
  <c r="F113" i="207"/>
  <c r="F145" i="207"/>
  <c r="F97" i="207"/>
  <c r="F81" i="207"/>
  <c r="F32" i="207"/>
  <c r="H15" i="200"/>
  <c r="J15" i="200" s="1"/>
  <c r="H6" i="200"/>
  <c r="J6" i="200" s="1"/>
  <c r="H30" i="200"/>
  <c r="J30" i="200" s="1"/>
  <c r="E217" i="199"/>
  <c r="E185" i="199"/>
  <c r="E57" i="199"/>
  <c r="E89" i="199"/>
  <c r="B94" i="199" s="1"/>
  <c r="E280" i="199"/>
  <c r="H31" i="200" s="1"/>
  <c r="E249" i="199"/>
  <c r="E153" i="199"/>
  <c r="E152" i="199"/>
  <c r="H19" i="200" s="1"/>
  <c r="E56" i="199"/>
  <c r="H10" i="200" s="1"/>
  <c r="E312" i="199"/>
  <c r="H34" i="200" s="1"/>
  <c r="E248" i="199"/>
  <c r="H28" i="200" s="1"/>
  <c r="E313" i="199"/>
  <c r="E216" i="199"/>
  <c r="H25" i="200" s="1"/>
  <c r="G27" i="201"/>
  <c r="G25" i="201"/>
  <c r="G23" i="201"/>
  <c r="G21" i="201"/>
  <c r="F17" i="202" s="1"/>
  <c r="G19" i="201"/>
  <c r="G17" i="201"/>
  <c r="G15" i="201"/>
  <c r="G13" i="201"/>
  <c r="F9" i="202" s="1"/>
  <c r="G11" i="201"/>
  <c r="G9" i="201"/>
  <c r="V9" i="199" l="1"/>
  <c r="V5" i="199"/>
  <c r="V8" i="199"/>
  <c r="V11" i="199"/>
  <c r="V6" i="199"/>
  <c r="B62" i="199"/>
  <c r="V4" i="199" s="1"/>
  <c r="X11" i="198" s="1"/>
  <c r="H24" i="200"/>
  <c r="J24" i="200" s="1"/>
  <c r="H33" i="200"/>
  <c r="J33" i="200" s="1"/>
  <c r="F11" i="202"/>
  <c r="H15" i="201"/>
  <c r="G11" i="202" s="1"/>
  <c r="L15" i="201"/>
  <c r="D11" i="202" s="1"/>
  <c r="F13" i="202"/>
  <c r="H17" i="201"/>
  <c r="G13" i="202" s="1"/>
  <c r="L17" i="201"/>
  <c r="D13" i="202" s="1"/>
  <c r="F15" i="202"/>
  <c r="L19" i="201"/>
  <c r="D15" i="202" s="1"/>
  <c r="H19" i="201"/>
  <c r="G15" i="202" s="1"/>
  <c r="H27" i="200"/>
  <c r="J27" i="200" s="1"/>
  <c r="H12" i="200"/>
  <c r="J12" i="200" s="1"/>
  <c r="H18" i="200"/>
  <c r="J18" i="200" s="1"/>
  <c r="F23" i="202"/>
  <c r="H27" i="201"/>
  <c r="G23" i="202" s="1"/>
  <c r="L27" i="201"/>
  <c r="D23" i="202" s="1"/>
  <c r="H9" i="200"/>
  <c r="J9" i="200" s="1"/>
  <c r="F19" i="202"/>
  <c r="H23" i="201"/>
  <c r="G19" i="202" s="1"/>
  <c r="L23" i="201"/>
  <c r="D19" i="202" s="1"/>
  <c r="F21" i="202"/>
  <c r="L25" i="201"/>
  <c r="D21" i="202" s="1"/>
  <c r="H25" i="201"/>
  <c r="G21" i="202" s="1"/>
  <c r="H21" i="200"/>
  <c r="J21" i="200" s="1"/>
  <c r="H9" i="201"/>
  <c r="G5" i="202" s="1"/>
  <c r="F5" i="202"/>
  <c r="H11" i="201"/>
  <c r="G7" i="202" s="1"/>
  <c r="F7" i="202"/>
  <c r="H13" i="201"/>
  <c r="G9" i="202" s="1"/>
  <c r="L13" i="201"/>
  <c r="D9" i="202" s="1"/>
  <c r="L9" i="201"/>
  <c r="D5" i="202" s="1"/>
  <c r="H21" i="201"/>
  <c r="G17" i="202" s="1"/>
  <c r="L21" i="201"/>
  <c r="D17" i="202" s="1"/>
  <c r="L11" i="201"/>
  <c r="I27" i="201"/>
  <c r="J27" i="201" s="1"/>
  <c r="I25" i="201"/>
  <c r="J25" i="201" s="1"/>
  <c r="I23" i="201"/>
  <c r="J23" i="201" s="1"/>
  <c r="I21" i="201"/>
  <c r="J21" i="201" s="1"/>
  <c r="I19" i="201"/>
  <c r="J19" i="201" s="1"/>
  <c r="I17" i="201"/>
  <c r="J17" i="201" s="1"/>
  <c r="I15" i="201"/>
  <c r="J15" i="201" s="1"/>
  <c r="I13" i="201"/>
  <c r="J13" i="201" s="1"/>
  <c r="I11" i="201"/>
  <c r="J11" i="201" s="1"/>
  <c r="I9" i="201"/>
  <c r="D6" i="202"/>
  <c r="D16" i="202"/>
  <c r="X17" i="198" l="1"/>
  <c r="X32" i="198"/>
  <c r="X23" i="198"/>
  <c r="X14" i="198"/>
  <c r="X26" i="198"/>
  <c r="A116" i="207"/>
  <c r="A20" i="207"/>
  <c r="D7" i="202"/>
  <c r="M6" i="201"/>
  <c r="G93" i="200" s="1"/>
  <c r="H93" i="200" s="1"/>
  <c r="J9" i="201"/>
  <c r="A36" i="207" l="1"/>
  <c r="A84" i="207"/>
  <c r="F20" i="200"/>
  <c r="A132" i="207"/>
  <c r="F29" i="200"/>
  <c r="A100" i="207"/>
  <c r="F23" i="200"/>
  <c r="A52" i="207"/>
  <c r="F14" i="200"/>
  <c r="E5" i="196"/>
  <c r="E9" i="196"/>
  <c r="E39" i="196"/>
  <c r="I24" i="194" l="1"/>
  <c r="B24" i="194"/>
  <c r="I12" i="196" l="1"/>
  <c r="E12" i="196" s="1"/>
  <c r="I11" i="196"/>
  <c r="E11" i="196" s="1"/>
  <c r="I10" i="196"/>
  <c r="E10" i="196" s="1"/>
  <c r="I8" i="196"/>
  <c r="E8" i="196" s="1"/>
  <c r="I7" i="196"/>
  <c r="E7" i="196" s="1"/>
  <c r="I6" i="196"/>
  <c r="E6" i="196" s="1"/>
  <c r="E4" i="196"/>
  <c r="E3" i="196"/>
  <c r="E62" i="196" l="1"/>
  <c r="E63" i="196"/>
  <c r="E64" i="196"/>
  <c r="E65" i="196"/>
  <c r="E66" i="196"/>
  <c r="E67" i="196"/>
  <c r="E68" i="196"/>
  <c r="E69" i="196"/>
  <c r="E70" i="196"/>
  <c r="E72" i="196"/>
  <c r="E73" i="196"/>
  <c r="E74" i="196"/>
  <c r="B10" i="209" s="1"/>
  <c r="B14" i="209" s="1"/>
  <c r="E75" i="196"/>
  <c r="E76" i="196"/>
  <c r="E77" i="196"/>
  <c r="E78" i="196"/>
  <c r="E80" i="196"/>
  <c r="E81" i="196"/>
  <c r="E82" i="196"/>
  <c r="E83" i="196"/>
  <c r="E61" i="196"/>
  <c r="B30" i="209" l="1"/>
  <c r="V3" i="209" s="1"/>
  <c r="X8" i="210" s="1"/>
  <c r="F39" i="200" s="1"/>
  <c r="H39" i="200" s="1"/>
  <c r="J39" i="200" s="1"/>
  <c r="C30" i="209"/>
  <c r="B138" i="209"/>
  <c r="B142" i="209" s="1"/>
  <c r="B10" i="199"/>
  <c r="I86" i="196"/>
  <c r="E86" i="196" s="1"/>
  <c r="I87" i="196"/>
  <c r="E87" i="196" s="1"/>
  <c r="I88" i="196"/>
  <c r="E88" i="196" s="1"/>
  <c r="E85" i="196"/>
  <c r="E29" i="196"/>
  <c r="I40" i="196"/>
  <c r="E28" i="196"/>
  <c r="E30" i="196"/>
  <c r="E31" i="196"/>
  <c r="E32" i="196"/>
  <c r="E33" i="196"/>
  <c r="E34" i="196"/>
  <c r="E35" i="196"/>
  <c r="E36" i="196"/>
  <c r="E37" i="196"/>
  <c r="E38" i="196"/>
  <c r="E41" i="196"/>
  <c r="E17" i="199"/>
  <c r="G17" i="199" s="1"/>
  <c r="E47" i="196"/>
  <c r="E42" i="196"/>
  <c r="E48" i="196"/>
  <c r="E27" i="196"/>
  <c r="A4" i="211" l="1"/>
  <c r="C158" i="209"/>
  <c r="B158" i="209"/>
  <c r="V7" i="209" s="1"/>
  <c r="X20" i="210" s="1"/>
  <c r="F303" i="209"/>
  <c r="F271" i="209"/>
  <c r="F175" i="209"/>
  <c r="F111" i="209"/>
  <c r="F239" i="209"/>
  <c r="F79" i="209"/>
  <c r="F207" i="209"/>
  <c r="F143" i="209"/>
  <c r="F47" i="209"/>
  <c r="F15" i="209"/>
  <c r="M26" i="201"/>
  <c r="M10" i="201"/>
  <c r="M24" i="201"/>
  <c r="M8" i="201"/>
  <c r="M22" i="201"/>
  <c r="M20" i="201"/>
  <c r="M18" i="201"/>
  <c r="M16" i="201"/>
  <c r="M14" i="201"/>
  <c r="M12" i="201"/>
  <c r="E26" i="199"/>
  <c r="E49" i="196"/>
  <c r="E18" i="199"/>
  <c r="G18" i="199" s="1"/>
  <c r="E19" i="199"/>
  <c r="G19" i="199" s="1"/>
  <c r="E20" i="199"/>
  <c r="G20" i="199" s="1"/>
  <c r="W1" i="193"/>
  <c r="Z12" i="194"/>
  <c r="Q9" i="194" s="1"/>
  <c r="F6" i="208" s="1"/>
  <c r="Z25" i="194"/>
  <c r="Z24" i="194"/>
  <c r="AB22" i="194"/>
  <c r="AB21" i="194"/>
  <c r="AB20" i="194"/>
  <c r="AA22" i="194"/>
  <c r="AA21" i="194"/>
  <c r="AA20" i="194"/>
  <c r="Z22" i="194"/>
  <c r="Z21" i="194"/>
  <c r="Z20" i="194"/>
  <c r="Z6" i="194" s="1"/>
  <c r="G39" i="210" l="1"/>
  <c r="J39" i="210" s="1"/>
  <c r="A1" i="211" s="1"/>
  <c r="F51" i="200"/>
  <c r="H51" i="200" s="1"/>
  <c r="J51" i="200" s="1"/>
  <c r="A68" i="207"/>
  <c r="Z15" i="194"/>
  <c r="Q11" i="194" s="1"/>
  <c r="F8" i="208" s="1"/>
  <c r="Z10" i="194"/>
  <c r="C22" i="202"/>
  <c r="C4" i="202"/>
  <c r="B22" i="202"/>
  <c r="B4" i="202"/>
  <c r="I84" i="200"/>
  <c r="I85" i="200"/>
  <c r="I86" i="200"/>
  <c r="I87" i="200"/>
  <c r="I88" i="200"/>
  <c r="I89" i="200"/>
  <c r="I90" i="200"/>
  <c r="I91" i="200"/>
  <c r="I92" i="200"/>
  <c r="I93" i="200" s="1"/>
  <c r="J93" i="200" s="1"/>
  <c r="I94" i="200"/>
  <c r="I95" i="200"/>
  <c r="I96" i="200"/>
  <c r="I83" i="200"/>
  <c r="G95" i="200"/>
  <c r="G96" i="200"/>
  <c r="G94" i="200"/>
  <c r="D84" i="200"/>
  <c r="M84" i="200" s="1"/>
  <c r="D85" i="200"/>
  <c r="M85" i="200" s="1"/>
  <c r="D86" i="200"/>
  <c r="M86" i="200" s="1"/>
  <c r="D87" i="200"/>
  <c r="M87" i="200" s="1"/>
  <c r="D88" i="200"/>
  <c r="M88" i="200" s="1"/>
  <c r="D89" i="200"/>
  <c r="M89" i="200" s="1"/>
  <c r="D90" i="200"/>
  <c r="M90" i="200" s="1"/>
  <c r="D91" i="200"/>
  <c r="M91" i="200" s="1"/>
  <c r="D92" i="200"/>
  <c r="M92" i="200" s="1"/>
  <c r="D83" i="200"/>
  <c r="M83" i="200" s="1"/>
  <c r="D4" i="202"/>
  <c r="I12" i="201"/>
  <c r="F85" i="200" s="1"/>
  <c r="I14" i="201"/>
  <c r="F86" i="200" s="1"/>
  <c r="I16" i="201"/>
  <c r="F87" i="200" s="1"/>
  <c r="I18" i="201"/>
  <c r="F88" i="200" s="1"/>
  <c r="I20" i="201"/>
  <c r="F89" i="200" s="1"/>
  <c r="I22" i="201"/>
  <c r="F90" i="200" s="1"/>
  <c r="I24" i="201"/>
  <c r="F91" i="200" s="1"/>
  <c r="I26" i="201"/>
  <c r="F92" i="200" s="1"/>
  <c r="I31" i="201"/>
  <c r="I29" i="201"/>
  <c r="F94" i="200" s="1"/>
  <c r="I30" i="201"/>
  <c r="M1" i="201"/>
  <c r="A68" i="211" l="1"/>
  <c r="D2" i="211"/>
  <c r="B2" i="211" s="1"/>
  <c r="J30" i="201"/>
  <c r="H95" i="200" s="1"/>
  <c r="J95" i="200" s="1"/>
  <c r="F95" i="200"/>
  <c r="J31" i="201"/>
  <c r="H96" i="200" s="1"/>
  <c r="J96" i="200" s="1"/>
  <c r="F96" i="200"/>
  <c r="I8" i="201"/>
  <c r="F83" i="200" s="1"/>
  <c r="I10" i="201"/>
  <c r="F84" i="200" s="1"/>
  <c r="J29" i="201"/>
  <c r="N14" i="201"/>
  <c r="O14" i="201" s="1"/>
  <c r="N16" i="201"/>
  <c r="O16" i="201" s="1"/>
  <c r="N8" i="201"/>
  <c r="AA6" i="194"/>
  <c r="AA10" i="194"/>
  <c r="O8" i="201" l="1"/>
  <c r="J8" i="201" s="1"/>
  <c r="H83" i="200" s="1"/>
  <c r="H94" i="200"/>
  <c r="J94" i="200" s="1"/>
  <c r="J14" i="201"/>
  <c r="H86" i="200" s="1"/>
  <c r="J16" i="201"/>
  <c r="H87" i="200" s="1"/>
  <c r="N10" i="201"/>
  <c r="O10" i="201" s="1"/>
  <c r="N12" i="201"/>
  <c r="O12" i="201" s="1"/>
  <c r="N20" i="201"/>
  <c r="O20" i="201" s="1"/>
  <c r="N18" i="201"/>
  <c r="O18" i="201" s="1"/>
  <c r="H35" i="201"/>
  <c r="J35" i="201" s="1"/>
  <c r="H79" i="200"/>
  <c r="R17" i="194" l="1"/>
  <c r="J14" i="208" s="1"/>
  <c r="J18" i="201"/>
  <c r="H88" i="200" s="1"/>
  <c r="J20" i="201"/>
  <c r="H89" i="200" s="1"/>
  <c r="J12" i="201"/>
  <c r="H85" i="200" s="1"/>
  <c r="J10" i="201"/>
  <c r="H84" i="200" s="1"/>
  <c r="J83" i="200"/>
  <c r="N22" i="201"/>
  <c r="N24" i="201"/>
  <c r="O24" i="201" s="1"/>
  <c r="N26" i="201"/>
  <c r="O26" i="201" s="1"/>
  <c r="O22" i="201" l="1"/>
  <c r="J22" i="201" s="1"/>
  <c r="H90" i="200" s="1"/>
  <c r="J86" i="200"/>
  <c r="J87" i="200"/>
  <c r="J24" i="201"/>
  <c r="H91" i="200" s="1"/>
  <c r="J26" i="201"/>
  <c r="H92" i="200" s="1"/>
  <c r="H34" i="201" l="1"/>
  <c r="J88" i="200"/>
  <c r="J85" i="200"/>
  <c r="J89" i="200"/>
  <c r="J84" i="200"/>
  <c r="J90" i="200"/>
  <c r="J34" i="201" l="1"/>
  <c r="J36" i="201" s="1"/>
  <c r="J92" i="200"/>
  <c r="J91" i="200" l="1"/>
  <c r="B302" i="199" l="1"/>
  <c r="B318" i="199" s="1"/>
  <c r="V12" i="199" s="1"/>
  <c r="X35" i="198" s="1"/>
  <c r="F32" i="200" s="1"/>
  <c r="A148" i="207" l="1"/>
  <c r="B14" i="199"/>
  <c r="B30" i="199" l="1"/>
  <c r="V3" i="199" s="1"/>
  <c r="X8" i="198" s="1"/>
  <c r="I74" i="200"/>
  <c r="I76" i="200"/>
  <c r="I77" i="200"/>
  <c r="I78" i="200"/>
  <c r="I79" i="200"/>
  <c r="I75" i="200"/>
  <c r="G74" i="200"/>
  <c r="E74" i="200"/>
  <c r="D74" i="200"/>
  <c r="AA2" i="193"/>
  <c r="B74" i="200" s="1"/>
  <c r="G39" i="198" l="1"/>
  <c r="J39" i="198" s="1"/>
  <c r="A1" i="207" s="1"/>
  <c r="A4" i="207"/>
  <c r="I34" i="200"/>
  <c r="I32" i="200"/>
  <c r="I31" i="200"/>
  <c r="I29" i="200"/>
  <c r="I28" i="200"/>
  <c r="I26" i="200"/>
  <c r="I25" i="200"/>
  <c r="I23" i="200"/>
  <c r="I22" i="200"/>
  <c r="I20" i="200"/>
  <c r="I19" i="200"/>
  <c r="I17" i="200"/>
  <c r="I16" i="200"/>
  <c r="I14" i="200"/>
  <c r="I13" i="200"/>
  <c r="I11" i="200"/>
  <c r="I10" i="200"/>
  <c r="I8" i="200"/>
  <c r="I7" i="200"/>
  <c r="I5" i="200"/>
  <c r="G32" i="200"/>
  <c r="G29" i="200"/>
  <c r="G26" i="200"/>
  <c r="G23" i="200"/>
  <c r="G20" i="200"/>
  <c r="G17" i="200"/>
  <c r="G14" i="200"/>
  <c r="G11" i="200"/>
  <c r="F11" i="200" s="1"/>
  <c r="G8" i="200"/>
  <c r="F8" i="200" s="1"/>
  <c r="G5" i="200"/>
  <c r="F5" i="200" s="1"/>
  <c r="E32" i="200"/>
  <c r="D32" i="200"/>
  <c r="E29" i="200"/>
  <c r="D29" i="200"/>
  <c r="E26" i="200"/>
  <c r="D26" i="200"/>
  <c r="E23" i="200"/>
  <c r="D23" i="200"/>
  <c r="E20" i="200"/>
  <c r="D20" i="200"/>
  <c r="E17" i="200"/>
  <c r="D17" i="200"/>
  <c r="E14" i="200"/>
  <c r="D14" i="200"/>
  <c r="E11" i="200"/>
  <c r="D11" i="200"/>
  <c r="E8" i="200"/>
  <c r="D8" i="200"/>
  <c r="E5" i="200"/>
  <c r="D5" i="200"/>
  <c r="AP6" i="198"/>
  <c r="AP8" i="198" l="1"/>
  <c r="AP9" i="198"/>
  <c r="AP3" i="198"/>
  <c r="AP11" i="198"/>
  <c r="AP4" i="198"/>
  <c r="AP5" i="198"/>
  <c r="AP10" i="198"/>
  <c r="AP7" i="198"/>
  <c r="U23" i="194" l="1"/>
  <c r="H20" i="208" s="1"/>
  <c r="U22" i="194"/>
  <c r="H19" i="208" s="1"/>
  <c r="U21" i="194"/>
  <c r="H18" i="208" s="1"/>
  <c r="U20" i="194"/>
  <c r="U19" i="194"/>
  <c r="H16" i="208" s="1"/>
  <c r="U18" i="194"/>
  <c r="H15" i="208" s="1"/>
  <c r="U12" i="194"/>
  <c r="H9" i="208" s="1"/>
  <c r="U9" i="194"/>
  <c r="H6" i="208" s="1"/>
  <c r="U8" i="194"/>
  <c r="H5" i="208" s="1"/>
  <c r="U7" i="194"/>
  <c r="H4" i="208" s="1"/>
  <c r="D14" i="208"/>
  <c r="D13" i="208"/>
  <c r="D12" i="208"/>
  <c r="U13" i="194"/>
  <c r="H10" i="208" s="1"/>
  <c r="P13" i="194"/>
  <c r="D10" i="208" s="1"/>
  <c r="Q12" i="194"/>
  <c r="F9" i="208" s="1"/>
  <c r="P12" i="194"/>
  <c r="D9" i="208" s="1"/>
  <c r="P11" i="194"/>
  <c r="D8" i="208" s="1"/>
  <c r="P9" i="194"/>
  <c r="D6" i="208" s="1"/>
  <c r="P8" i="194"/>
  <c r="D5" i="208" s="1"/>
  <c r="P7" i="194"/>
  <c r="D4" i="208" s="1"/>
  <c r="R20" i="194" l="1"/>
  <c r="J17" i="208" s="1"/>
  <c r="H17" i="208"/>
  <c r="AD16" i="199"/>
  <c r="H16" i="207" s="1"/>
  <c r="J13" i="200" l="1"/>
  <c r="J16" i="200"/>
  <c r="J10" i="200"/>
  <c r="J34" i="200"/>
  <c r="J28" i="200"/>
  <c r="J25" i="200"/>
  <c r="J22" i="200"/>
  <c r="J19" i="200"/>
  <c r="J31" i="200"/>
  <c r="H20" i="200" l="1"/>
  <c r="H14" i="200"/>
  <c r="AA11" i="199"/>
  <c r="J11" i="207" s="1"/>
  <c r="J20" i="200" l="1"/>
  <c r="J14" i="200"/>
  <c r="H23" i="200"/>
  <c r="H29" i="200"/>
  <c r="H32" i="200"/>
  <c r="H26" i="200"/>
  <c r="AM226" i="198"/>
  <c r="AM225" i="198"/>
  <c r="AH225" i="198"/>
  <c r="AG225" i="198"/>
  <c r="AD224" i="198"/>
  <c r="J32" i="200" l="1"/>
  <c r="J29" i="200"/>
  <c r="J26" i="200"/>
  <c r="J23" i="200"/>
  <c r="H17" i="200"/>
  <c r="J7" i="200"/>
  <c r="AP2" i="198"/>
  <c r="J17" i="200" l="1"/>
  <c r="AC10" i="193"/>
  <c r="AC9" i="193"/>
  <c r="AC8" i="193"/>
  <c r="AC7" i="193"/>
  <c r="AC6" i="193"/>
  <c r="AC5" i="193"/>
  <c r="AC4" i="193"/>
  <c r="AC3" i="193"/>
  <c r="Q13" i="194" l="1"/>
  <c r="G32" i="193"/>
  <c r="N32" i="193" s="1"/>
  <c r="H11" i="200"/>
  <c r="H8" i="200"/>
  <c r="H32" i="193" l="1"/>
  <c r="H37" i="193" s="1"/>
  <c r="D41" i="193" s="1"/>
  <c r="G75" i="200"/>
  <c r="J11" i="200"/>
  <c r="J8" i="200"/>
  <c r="F10" i="208"/>
  <c r="AA15" i="194"/>
  <c r="J23" i="194" s="1"/>
  <c r="AA12" i="194"/>
  <c r="I34" i="194" l="1"/>
  <c r="Q14" i="194" l="1"/>
  <c r="F11" i="208" s="1"/>
  <c r="H13" i="208" l="1"/>
  <c r="H14" i="208"/>
  <c r="F30" i="194"/>
  <c r="F29" i="194"/>
  <c r="F28" i="194"/>
  <c r="F27" i="194"/>
  <c r="J79" i="200" l="1"/>
  <c r="J78" i="200"/>
  <c r="AG11" i="193"/>
  <c r="AG6" i="193"/>
  <c r="AG5" i="193"/>
  <c r="AG3" i="193"/>
  <c r="AF11" i="193"/>
  <c r="AF7" i="193"/>
  <c r="AF5" i="193"/>
  <c r="AF4" i="193"/>
  <c r="AD8" i="193"/>
  <c r="AD11" i="193"/>
  <c r="AE11" i="193"/>
  <c r="AE9" i="193"/>
  <c r="AE8" i="193"/>
  <c r="AE7" i="193"/>
  <c r="AE6" i="193"/>
  <c r="AE5" i="193"/>
  <c r="AE4" i="193"/>
  <c r="AE3" i="193"/>
  <c r="AF3" i="193"/>
  <c r="AG4" i="193"/>
  <c r="AF6" i="193"/>
  <c r="AG7" i="193"/>
  <c r="AG8" i="193"/>
  <c r="AF8" i="193"/>
  <c r="AF9" i="193"/>
  <c r="AG9" i="193"/>
  <c r="AG10" i="193"/>
  <c r="AF10" i="193"/>
  <c r="AE10" i="193"/>
  <c r="AD10" i="193"/>
  <c r="AD9" i="193"/>
  <c r="AD7" i="193"/>
  <c r="AD6" i="193"/>
  <c r="AD5" i="193"/>
  <c r="AD4" i="193"/>
  <c r="AD3" i="193"/>
  <c r="F23" i="194"/>
  <c r="R11" i="194" s="1"/>
  <c r="R10" i="194"/>
  <c r="F6" i="194"/>
  <c r="U10" i="194" l="1"/>
  <c r="H7" i="208" s="1"/>
  <c r="J7" i="208"/>
  <c r="U11" i="194"/>
  <c r="H8" i="208" s="1"/>
  <c r="J8" i="208"/>
  <c r="F19" i="194"/>
  <c r="F18" i="194"/>
  <c r="F13" i="194" s="1"/>
  <c r="F17" i="194"/>
  <c r="F16" i="194"/>
  <c r="F7" i="194"/>
  <c r="F8" i="194"/>
  <c r="F9" i="194"/>
  <c r="F12" i="194" l="1"/>
  <c r="F14" i="194"/>
  <c r="F11" i="194"/>
  <c r="B30" i="193"/>
  <c r="K29" i="194" l="1"/>
  <c r="H12" i="208" l="1"/>
  <c r="I21" i="194" l="1"/>
  <c r="B21" i="194" s="1"/>
  <c r="I16" i="194"/>
  <c r="D3" i="194"/>
  <c r="E13" i="194" s="1"/>
  <c r="G13" i="194" s="1"/>
  <c r="D2" i="194"/>
  <c r="P10" i="194" l="1"/>
  <c r="D7" i="208" s="1"/>
  <c r="L21" i="194"/>
  <c r="R21" i="194"/>
  <c r="J18" i="208" s="1"/>
  <c r="R22" i="194"/>
  <c r="J19" i="208" s="1"/>
  <c r="E11" i="194"/>
  <c r="S8" i="194" s="1"/>
  <c r="I5" i="208" s="1"/>
  <c r="R18" i="194"/>
  <c r="J15" i="208" s="1"/>
  <c r="R23" i="194"/>
  <c r="J20" i="208" s="1"/>
  <c r="R19" i="194"/>
  <c r="J16" i="208" s="1"/>
  <c r="I11" i="194"/>
  <c r="Q8" i="194" s="1"/>
  <c r="F5" i="208" s="1"/>
  <c r="I6" i="194"/>
  <c r="Q7" i="194" s="1"/>
  <c r="F4" i="208" s="1"/>
  <c r="I3" i="194"/>
  <c r="E6" i="194"/>
  <c r="E16" i="194"/>
  <c r="AC2" i="193"/>
  <c r="AJ2" i="193" s="1"/>
  <c r="J3" i="194"/>
  <c r="E8" i="194"/>
  <c r="E18" i="194"/>
  <c r="G18" i="194" s="1"/>
  <c r="G11" i="194" l="1"/>
  <c r="E12" i="194"/>
  <c r="G12" i="194" s="1"/>
  <c r="G21" i="194"/>
  <c r="P4" i="208"/>
  <c r="Q10" i="194"/>
  <c r="F7" i="208" s="1"/>
  <c r="L22" i="194"/>
  <c r="E17" i="194"/>
  <c r="G17" i="194" s="1"/>
  <c r="G16" i="194"/>
  <c r="E19" i="194"/>
  <c r="E14" i="194"/>
  <c r="E9" i="194"/>
  <c r="E7" i="194"/>
  <c r="H16" i="194" l="1"/>
  <c r="G19" i="194"/>
  <c r="T9" i="194" s="1"/>
  <c r="G6" i="208" s="1"/>
  <c r="T7" i="194"/>
  <c r="G4" i="208" s="1"/>
  <c r="H11" i="194"/>
  <c r="R8" i="194" s="1"/>
  <c r="J5" i="208" s="1"/>
  <c r="G14" i="194"/>
  <c r="T8" i="194" s="1"/>
  <c r="G5" i="208" s="1"/>
  <c r="H6" i="194"/>
  <c r="J16" i="194" l="1"/>
  <c r="E35" i="194"/>
  <c r="R9" i="194"/>
  <c r="J6" i="208" s="1"/>
  <c r="E34" i="194"/>
  <c r="J6" i="194"/>
  <c r="R7" i="194"/>
  <c r="J4" i="208" s="1"/>
  <c r="J11" i="194"/>
  <c r="H11" i="208"/>
  <c r="D24" i="194"/>
  <c r="J24" i="194" s="1"/>
  <c r="H75" i="200" l="1"/>
  <c r="R13" i="194"/>
  <c r="J10" i="208" s="1"/>
  <c r="J34" i="194"/>
  <c r="D2" i="207" l="1"/>
  <c r="B2" i="207" s="1"/>
  <c r="E21" i="194"/>
  <c r="E22" i="194"/>
  <c r="H22" i="194" l="1"/>
  <c r="J21" i="194" s="1"/>
  <c r="H5" i="200"/>
  <c r="S10" i="194"/>
  <c r="I7" i="208" s="1"/>
  <c r="F24" i="194"/>
  <c r="R12" i="194" s="1"/>
  <c r="J9" i="208" s="1"/>
  <c r="J5" i="200" l="1"/>
  <c r="J31" i="194"/>
  <c r="F30" i="193" s="1"/>
  <c r="F74" i="200" s="1"/>
  <c r="H74" i="200" s="1"/>
  <c r="H30" i="193" l="1"/>
  <c r="D40" i="193" l="1"/>
  <c r="G40" i="193" s="1"/>
  <c r="J74" i="200"/>
  <c r="J76" i="200"/>
  <c r="I35" i="194"/>
  <c r="J35" i="194" s="1"/>
  <c r="K35" i="194" s="1"/>
  <c r="J75" i="200" s="1"/>
  <c r="J77" i="200" l="1"/>
  <c r="J36" i="194"/>
  <c r="J38" i="194" l="1"/>
  <c r="D42" i="193" l="1"/>
  <c r="A1" i="208" s="1"/>
  <c r="G41" i="193"/>
  <c r="G42" i="193" s="1"/>
  <c r="E42" i="193" l="1"/>
</calcChain>
</file>

<file path=xl/sharedStrings.xml><?xml version="1.0" encoding="utf-8"?>
<sst xmlns="http://schemas.openxmlformats.org/spreadsheetml/2006/main" count="4176" uniqueCount="733">
  <si>
    <t>Цвет</t>
  </si>
  <si>
    <t>ширина</t>
  </si>
  <si>
    <t>Наименование</t>
  </si>
  <si>
    <t>цена</t>
  </si>
  <si>
    <t>высота</t>
  </si>
  <si>
    <t>артикул</t>
  </si>
  <si>
    <t>Цена</t>
  </si>
  <si>
    <t>стоимость</t>
  </si>
  <si>
    <t>кол-во</t>
  </si>
  <si>
    <t>.</t>
  </si>
  <si>
    <t>К Договору купли продажи №</t>
  </si>
  <si>
    <t>____________</t>
  </si>
  <si>
    <t>СПЕЦИФИКАЦИЯ №</t>
  </si>
  <si>
    <t>Спецификация</t>
  </si>
  <si>
    <t>Двери</t>
  </si>
  <si>
    <t>наименование</t>
  </si>
  <si>
    <t>размер</t>
  </si>
  <si>
    <t>Скидка</t>
  </si>
  <si>
    <t>Итоговая стоимость:</t>
  </si>
  <si>
    <t xml:space="preserve">Дополнительные условия и заметки: </t>
  </si>
  <si>
    <t>Филиал</t>
  </si>
  <si>
    <t>Ф.И.О заказчика</t>
  </si>
  <si>
    <t xml:space="preserve">Заказ принял: </t>
  </si>
  <si>
    <t>Дата приёма:</t>
  </si>
  <si>
    <t>Адрес монтажа:</t>
  </si>
  <si>
    <t>Дата установки, до:</t>
  </si>
  <si>
    <t>С эскизом, фурнитурой, цветом материалов и размерами ознакомлен и согласен _____________подпись заказчика</t>
  </si>
  <si>
    <t>Сумма со скидкой</t>
  </si>
  <si>
    <t>Компания не несет отвественности за сохранность плинтуса и примыкающей к нему стены, в процессе демонтажа.</t>
  </si>
  <si>
    <t>Указанные размеры являются предварительными и уточняются после проведения замера.</t>
  </si>
  <si>
    <t>Ф.И.О. исполнителя</t>
  </si>
  <si>
    <t>Ф.И.О. покупателя</t>
  </si>
  <si>
    <t>Салон</t>
  </si>
  <si>
    <t>Подпись
 исполнителя</t>
  </si>
  <si>
    <t>Подпись покупателя</t>
  </si>
  <si>
    <t>Дата согласования</t>
  </si>
  <si>
    <t>Приложение №1</t>
  </si>
  <si>
    <t>от_________________</t>
  </si>
  <si>
    <t xml:space="preserve">Номер заказа: </t>
  </si>
  <si>
    <t>F без шлег</t>
  </si>
  <si>
    <t>цвета</t>
  </si>
  <si>
    <t>Матовый хром</t>
  </si>
  <si>
    <t>Черный матовый</t>
  </si>
  <si>
    <t>SM</t>
  </si>
  <si>
    <t>BM</t>
  </si>
  <si>
    <t>черный матовый</t>
  </si>
  <si>
    <t>Технические описания и ограничения!!!</t>
  </si>
  <si>
    <t>Прайс лист на аллюминевые полки ARISTO</t>
  </si>
  <si>
    <t>Рассеиватель</t>
  </si>
  <si>
    <t>Тип полки</t>
  </si>
  <si>
    <t>Наполнение</t>
  </si>
  <si>
    <t>A</t>
  </si>
  <si>
    <t>B</t>
  </si>
  <si>
    <t>C</t>
  </si>
  <si>
    <t>D</t>
  </si>
  <si>
    <t>сторона С</t>
  </si>
  <si>
    <t>сторона D</t>
  </si>
  <si>
    <t>max 1000</t>
  </si>
  <si>
    <t>max 600</t>
  </si>
  <si>
    <t>Освещение</t>
  </si>
  <si>
    <t>Трансформаторы</t>
  </si>
  <si>
    <t>30 W</t>
  </si>
  <si>
    <t>15 W</t>
  </si>
  <si>
    <t>8 w</t>
  </si>
  <si>
    <t>50 W</t>
  </si>
  <si>
    <t>мощность</t>
  </si>
  <si>
    <t>Кабель 2м с мини-штекером, черный/красный</t>
  </si>
  <si>
    <t>глубина</t>
  </si>
  <si>
    <t xml:space="preserve">ширина </t>
  </si>
  <si>
    <t>Размеры базовых профилей обрамления CKRU0559</t>
  </si>
  <si>
    <t>вычет от габарита полки</t>
  </si>
  <si>
    <t>Размеры полки</t>
  </si>
  <si>
    <t>количество</t>
  </si>
  <si>
    <t>всего, метров</t>
  </si>
  <si>
    <t>Z.4.Sil.sat</t>
  </si>
  <si>
    <t>Z.4.Gr.sat</t>
  </si>
  <si>
    <t>St.PW</t>
  </si>
  <si>
    <t>St.Bl</t>
  </si>
  <si>
    <t>St.4.Opw.Wh.sat</t>
  </si>
  <si>
    <t>St.4.Opw.Bl.sat</t>
  </si>
  <si>
    <t>St.4.Gf</t>
  </si>
  <si>
    <t>St.4.Ow</t>
  </si>
  <si>
    <t>St.4.En</t>
  </si>
  <si>
    <t>St.4.Gr</t>
  </si>
  <si>
    <t>St.4.Br</t>
  </si>
  <si>
    <t>St.4.Opw.sat</t>
  </si>
  <si>
    <t>St.4.Gr.sat</t>
  </si>
  <si>
    <t>однодверный шкаф</t>
  </si>
  <si>
    <t>двухдверный шкаф</t>
  </si>
  <si>
    <t>без вставки</t>
  </si>
  <si>
    <t>Z.4.Bril</t>
  </si>
  <si>
    <t>Z.4.Sil</t>
  </si>
  <si>
    <t>Z.4.Gr</t>
  </si>
  <si>
    <t>Z.4.Br</t>
  </si>
  <si>
    <t>Фасад, Уплотнитель под стекло, для профиля 560, 598, L=2700</t>
  </si>
  <si>
    <t>аллюм</t>
  </si>
  <si>
    <t>цена цвета</t>
  </si>
  <si>
    <t>Сборка</t>
  </si>
  <si>
    <t>Упаковка</t>
  </si>
  <si>
    <t>St.4.Br.sat</t>
  </si>
  <si>
    <t>Z.4.Br.sat</t>
  </si>
  <si>
    <t>L полки</t>
  </si>
  <si>
    <t>В полки</t>
  </si>
  <si>
    <t>двухдверная с креплением на стену на одной направляющей</t>
  </si>
  <si>
    <t>Сторона A</t>
  </si>
  <si>
    <t>Сторона AС</t>
  </si>
  <si>
    <t>Сторона AD</t>
  </si>
  <si>
    <t>Сторона CD</t>
  </si>
  <si>
    <t>Сторона ACD</t>
  </si>
  <si>
    <t>Сторона ACBD</t>
  </si>
  <si>
    <t>Трансформатор</t>
  </si>
  <si>
    <t>Кабель 2м, с мини-штекером</t>
  </si>
  <si>
    <t>без наполнения</t>
  </si>
  <si>
    <t>размер рассеиватель</t>
  </si>
  <si>
    <t>матовый хром</t>
  </si>
  <si>
    <t>№</t>
  </si>
  <si>
    <t>Светодиодная лента</t>
  </si>
  <si>
    <t>Аллюминиевые полки:</t>
  </si>
  <si>
    <t>Освещение:</t>
  </si>
  <si>
    <t>Стоимость</t>
  </si>
  <si>
    <t>Рассеиватель для полки с подсветкой</t>
  </si>
  <si>
    <t>Размеры профилей-крышек
(алюминиевая CKRU0558)</t>
  </si>
  <si>
    <t>Профиль для полки с подсветкой</t>
  </si>
  <si>
    <t xml:space="preserve">Профиль - крышка для полки с подсветкой </t>
  </si>
  <si>
    <t>Стоимость РЦ</t>
  </si>
  <si>
    <t>Размер профилей</t>
  </si>
  <si>
    <t>общий размер</t>
  </si>
  <si>
    <t>цена РЦ</t>
  </si>
  <si>
    <t>Размер  профилей крышки</t>
  </si>
  <si>
    <t>Размер базовых профилей</t>
  </si>
  <si>
    <t>Светодиодная лента NLS 5м</t>
  </si>
  <si>
    <t>ед</t>
  </si>
  <si>
    <t>1.п.м</t>
  </si>
  <si>
    <t>работы</t>
  </si>
  <si>
    <t>Нарезка</t>
  </si>
  <si>
    <t>Общая сумма</t>
  </si>
  <si>
    <t xml:space="preserve">расчет </t>
  </si>
  <si>
    <t>Сборка с подсветкой</t>
  </si>
  <si>
    <t>Итого:</t>
  </si>
  <si>
    <t>Длина полки max 1000 мм</t>
  </si>
  <si>
    <t>Глубина полки max 600</t>
  </si>
  <si>
    <t>Наполнение только : стекло 4мм</t>
  </si>
  <si>
    <t>Тип полки:</t>
  </si>
  <si>
    <t>Полка в сборе без подсветки</t>
  </si>
  <si>
    <t>Полка в сборе с подсветкой заказчика</t>
  </si>
  <si>
    <t>1. Полка в сборе без подсветки</t>
  </si>
  <si>
    <t>2. Полка в сборе с подсветкой заказчика</t>
  </si>
  <si>
    <t>Максимальный вес нагрузки на полку не более 10 кг!!!</t>
  </si>
  <si>
    <t>St.4.m1</t>
  </si>
  <si>
    <t>Кол-во</t>
  </si>
  <si>
    <t>А</t>
  </si>
  <si>
    <t>Стороны</t>
  </si>
  <si>
    <t>A - передний</t>
  </si>
  <si>
    <t>B - задний</t>
  </si>
  <si>
    <t>C - правый</t>
  </si>
  <si>
    <t>D-левый</t>
  </si>
  <si>
    <t>Цена за 1 полку</t>
  </si>
  <si>
    <t>Стекло</t>
  </si>
  <si>
    <t>Стекло optiwhite, освет.</t>
  </si>
  <si>
    <t>Стекло Enigma</t>
  </si>
  <si>
    <t>Стекло Grey</t>
  </si>
  <si>
    <t>Стекло Bronze</t>
  </si>
  <si>
    <t>Стекло Optiwhite, сатинат</t>
  </si>
  <si>
    <t>Стекло Grey, сатинат</t>
  </si>
  <si>
    <t>Стекло Bronze, сатинат</t>
  </si>
  <si>
    <t>Зеркало brilliant, (освет)</t>
  </si>
  <si>
    <t>Зеркало silver</t>
  </si>
  <si>
    <t>Зеркало grey</t>
  </si>
  <si>
    <t>Зеркало bronze</t>
  </si>
  <si>
    <t>Зеркало silver, сатинат</t>
  </si>
  <si>
    <t>Зеркало grey, сатинат</t>
  </si>
  <si>
    <t>Зеркало bronze, сатинат</t>
  </si>
  <si>
    <t>Стекло Gaufre, узорное</t>
  </si>
  <si>
    <t>Стекло Optiwhite, (освет)</t>
  </si>
  <si>
    <t>Стекло Optiwhite, (освет), сатинат</t>
  </si>
  <si>
    <t>Стекло крашеное Black</t>
  </si>
  <si>
    <t>Стекло White Pearl (lacobel 1013)</t>
  </si>
  <si>
    <t>Стекло White Pure, (освет), сатинат</t>
  </si>
  <si>
    <t>Стекло Black, (освет), сатинат</t>
  </si>
  <si>
    <t>Стекло м1 (зеленое)</t>
  </si>
  <si>
    <t>Указать размер X для присадки Ø5 под крепление</t>
  </si>
  <si>
    <t>Указать размер Y для присадки Ø9 под освещение</t>
  </si>
  <si>
    <t>Кабель-удлинитель 2 м штекер-розетка, чер</t>
  </si>
  <si>
    <t>Переходник для подключения 6-ти светильников</t>
  </si>
  <si>
    <t>100 W</t>
  </si>
  <si>
    <t>V914</t>
  </si>
  <si>
    <t>Светодиодная лента DLIGHT 3000к (теплный)</t>
  </si>
  <si>
    <t>Трансформатор Furnika до 8w</t>
  </si>
  <si>
    <t>Трансформатор Furnika до 15w</t>
  </si>
  <si>
    <t>Трансформатор Furnika до 30w</t>
  </si>
  <si>
    <t>Трансформатор Furnika до 50w</t>
  </si>
  <si>
    <t>Кабель 2м с мини штекером 813</t>
  </si>
  <si>
    <t>10.04.03/15W</t>
  </si>
  <si>
    <t>м.п</t>
  </si>
  <si>
    <t>шт</t>
  </si>
  <si>
    <t>РФ</t>
  </si>
  <si>
    <t>мат хром</t>
  </si>
  <si>
    <t>черный</t>
  </si>
  <si>
    <t>хром</t>
  </si>
  <si>
    <t>теплый</t>
  </si>
  <si>
    <t>дневной</t>
  </si>
  <si>
    <t>Полки</t>
  </si>
  <si>
    <t>км-т</t>
  </si>
  <si>
    <t>м.п.</t>
  </si>
  <si>
    <t>ед изм</t>
  </si>
  <si>
    <t xml:space="preserve">Полка в сборе с подсветкой </t>
  </si>
  <si>
    <t xml:space="preserve">кол-во </t>
  </si>
  <si>
    <t>Трансформатор Furnika до 100w</t>
  </si>
  <si>
    <t>ручка профиль</t>
  </si>
  <si>
    <t>наполнение</t>
  </si>
  <si>
    <t>Сторона B</t>
  </si>
  <si>
    <t>Сторона D</t>
  </si>
  <si>
    <t>без профиля ручки</t>
  </si>
  <si>
    <t>фурнитура (км-т)</t>
  </si>
  <si>
    <t>цвет профиля</t>
  </si>
  <si>
    <t>сумма</t>
  </si>
  <si>
    <t>Петли, сторона А</t>
  </si>
  <si>
    <t>Петли, сторона С</t>
  </si>
  <si>
    <t>Без вставки</t>
  </si>
  <si>
    <t>S.1.Gp4.(st.satosv)</t>
  </si>
  <si>
    <t>S.1.Gp4.(st.satgr)</t>
  </si>
  <si>
    <t>S.1.Gp4.(st.satbr)</t>
  </si>
  <si>
    <t>S.1.Gp4.(z.br)</t>
  </si>
  <si>
    <t>S.1.Gp4.(sat)</t>
  </si>
  <si>
    <t>S.1.Gp4.(z.satgr)</t>
  </si>
  <si>
    <t>S.1.Gp4.(z.satbr)</t>
  </si>
  <si>
    <t>S.1.Gp4.(st.bl)</t>
  </si>
  <si>
    <t>S.1.Gp4.(st.satosvbl)</t>
  </si>
  <si>
    <t>S.1.Gp4.(st.satosvwh)</t>
  </si>
  <si>
    <t>S.1.Gp4.(st.lac1013)</t>
  </si>
  <si>
    <t>Сторона C</t>
  </si>
  <si>
    <t>Выгрузка в ERP</t>
  </si>
  <si>
    <t>1С</t>
  </si>
  <si>
    <t>Артикул</t>
  </si>
  <si>
    <t>Характеристика</t>
  </si>
  <si>
    <t>Прим начало</t>
  </si>
  <si>
    <t>Прим окончание</t>
  </si>
  <si>
    <t>Статья калькуляции</t>
  </si>
  <si>
    <t>ед.спис</t>
  </si>
  <si>
    <t>характеристика</t>
  </si>
  <si>
    <t>Полуфабрикаты производимые в процессе</t>
  </si>
  <si>
    <t>Фурнитура</t>
  </si>
  <si>
    <t>Воздушно-пузырьковая пленка 3-10-115 (1,2*100)</t>
  </si>
  <si>
    <t>3-10-115</t>
  </si>
  <si>
    <t>Новофлекс П 40-50 (L3100)</t>
  </si>
  <si>
    <t>П 40-50</t>
  </si>
  <si>
    <t>Стрейч плёнка 500*300 (087.0800.50) первичная</t>
  </si>
  <si>
    <t>087.0800.50</t>
  </si>
  <si>
    <t>Клейкая лента прозрачная 72мм*45мм*50мкм</t>
  </si>
  <si>
    <t>0800.50</t>
  </si>
  <si>
    <t>Клейкая ленка "ОСТОРОЖНО! СТЕКЛО"</t>
  </si>
  <si>
    <t>43скл</t>
  </si>
  <si>
    <t>Выгрузка в ERP 1</t>
  </si>
  <si>
    <t>Выгрузка в ERP 10</t>
  </si>
  <si>
    <t>Выгрузка в ERP 9</t>
  </si>
  <si>
    <t>Выгрузка в ERP 8</t>
  </si>
  <si>
    <t>Выгрузка в ERP 7</t>
  </si>
  <si>
    <t>Выгрузка в ERP 6</t>
  </si>
  <si>
    <t>Выгрузка в ERP 5</t>
  </si>
  <si>
    <t>Выгрузка в ERP 4</t>
  </si>
  <si>
    <t>Выгрузка в ERP 3</t>
  </si>
  <si>
    <t>Выгрузка в ERP 2</t>
  </si>
  <si>
    <t>Фасады:</t>
  </si>
  <si>
    <t>DE0559.VP540.SLMAN.CJ</t>
  </si>
  <si>
    <t>DE0559.VP540.BKSPC.CJ</t>
  </si>
  <si>
    <t>DE0558.VP540.SLMAN.CJ</t>
  </si>
  <si>
    <t>DE0558.VP540.BKSPC.CJ</t>
  </si>
  <si>
    <t>Уплотнитель П-образный, 4 мм, с шипами, чёрный (100 м)</t>
  </si>
  <si>
    <t>AA0084.VM100.BK000.RK</t>
  </si>
  <si>
    <t xml:space="preserve">Фурнитура: </t>
  </si>
  <si>
    <t>Сумма</t>
  </si>
  <si>
    <t>%</t>
  </si>
  <si>
    <t>Сумма с %</t>
  </si>
  <si>
    <t>Доводчик</t>
  </si>
  <si>
    <t>PAL</t>
  </si>
  <si>
    <t>PALS</t>
  </si>
  <si>
    <t>Без наполнения</t>
  </si>
  <si>
    <t>Уголок сборочный, для полки с подсветкой</t>
  </si>
  <si>
    <t>Вставки</t>
  </si>
  <si>
    <t>Пленка-мешок полиэтиленовый 250*700*0,1</t>
  </si>
  <si>
    <t>250*700*0,1</t>
  </si>
  <si>
    <t>теплый (3000к)</t>
  </si>
  <si>
    <t>холодный (4000к)</t>
  </si>
  <si>
    <t>ДВ</t>
  </si>
  <si>
    <t>Мин ширина X,Y 36 мм</t>
  </si>
  <si>
    <r>
      <t xml:space="preserve">y - от края полки, </t>
    </r>
    <r>
      <rPr>
        <b/>
        <sz val="9"/>
        <color theme="1"/>
        <rFont val="Calibri"/>
        <family val="2"/>
        <charset val="204"/>
        <scheme val="minor"/>
      </rPr>
      <t>min 36 мм</t>
    </r>
  </si>
  <si>
    <r>
      <t xml:space="preserve">x - от края полки  </t>
    </r>
    <r>
      <rPr>
        <b/>
        <sz val="9"/>
        <color theme="1"/>
        <rFont val="Calibri"/>
        <family val="2"/>
        <charset val="204"/>
        <scheme val="minor"/>
      </rPr>
      <t>min 36 мм</t>
    </r>
  </si>
  <si>
    <t>ВНИМАНИЕ ЕСТЬ ДОП. ПРИМЕЧАНИЯ</t>
  </si>
  <si>
    <t>ВНИМАНИЕ УСТАНОВЛЕН КН-Т!</t>
  </si>
  <si>
    <t>Прайс лист на вешало алюминиевое с крепленим ARISTO</t>
  </si>
  <si>
    <t>Вешало алюминиевое</t>
  </si>
  <si>
    <t xml:space="preserve">Вешало </t>
  </si>
  <si>
    <t>Крепление стена-стена, к-т</t>
  </si>
  <si>
    <t>Крепление сквозное, шт</t>
  </si>
  <si>
    <t>Крепление торцевое, шт</t>
  </si>
  <si>
    <t>AA0956.VR000.BKM00.CN</t>
  </si>
  <si>
    <t>AA1019.VP000.BKM00.CN</t>
  </si>
  <si>
    <t>AA1020.VP000.BKM00.CN</t>
  </si>
  <si>
    <t>Вешало</t>
  </si>
  <si>
    <r>
      <t>Цвет:</t>
    </r>
    <r>
      <rPr>
        <b/>
        <sz val="11"/>
        <color theme="1"/>
        <rFont val="Calibri"/>
        <family val="2"/>
        <charset val="204"/>
        <scheme val="minor"/>
      </rPr>
      <t>черный матовый</t>
    </r>
  </si>
  <si>
    <t>Вешало:</t>
  </si>
  <si>
    <t>размер, мм (L штанги)</t>
  </si>
  <si>
    <t>Стекло Enigma grey</t>
  </si>
  <si>
    <t>St.4.En.Gr</t>
  </si>
  <si>
    <t>DE0559.VP540.CHMAN.CJ</t>
  </si>
  <si>
    <t>шампань мат</t>
  </si>
  <si>
    <t>DE0558.VP540.CHMAN.CJ</t>
  </si>
  <si>
    <t>DE0253.VS000.CHMPC.CS</t>
  </si>
  <si>
    <t>DE0681.VP540.CHMAN.CJ</t>
  </si>
  <si>
    <t>DE0680.VP540.CHMAN.CJ</t>
  </si>
  <si>
    <t>Шампань матовая</t>
  </si>
  <si>
    <t>CHM</t>
  </si>
  <si>
    <t>шампань матовая</t>
  </si>
  <si>
    <t>профиль для полки</t>
  </si>
  <si>
    <t>профиль - крышка</t>
  </si>
  <si>
    <t>уголок</t>
  </si>
  <si>
    <t>цвет</t>
  </si>
  <si>
    <t>для поиска нужного артикула</t>
  </si>
  <si>
    <t>Тип рассеивателя</t>
  </si>
  <si>
    <t>тип рассеивателя</t>
  </si>
  <si>
    <t>Белый матовый</t>
  </si>
  <si>
    <t>DE0251.AP270.WHM00.CS</t>
  </si>
  <si>
    <t>DE0251.AP270.BKM00.CS</t>
  </si>
  <si>
    <t>ед.изм</t>
  </si>
  <si>
    <t>мм</t>
  </si>
  <si>
    <t>к-т</t>
  </si>
  <si>
    <t>РЦ</t>
  </si>
  <si>
    <t>Вешало алюминиевое, L=2500, чёрный анод.</t>
  </si>
  <si>
    <t>Крепление сквозное для алюминиевого вешала, чёрный матовый</t>
  </si>
  <si>
    <t>Крепление стена-стена для алюминиевого вешала, чёрный матовый</t>
  </si>
  <si>
    <t>Крепление торцевое для алюминиевого вешала, чёрный матовый</t>
  </si>
  <si>
    <t>DE0548.VP270.TR000.CB</t>
  </si>
  <si>
    <t>AA0084.VM100.TR000.RK</t>
  </si>
  <si>
    <t>Уплотнитель П-образный, 4 мм, с шипами, прозрачный (100 м)</t>
  </si>
  <si>
    <t>Профиль полки с подсветкой, Серебро матовое</t>
  </si>
  <si>
    <t>Профиль полки с подсветкой, Чёрный матовый</t>
  </si>
  <si>
    <t>Профиль полки с подсветкой, Шампань матовая</t>
  </si>
  <si>
    <t>Профиль-крышка полки с подсветкой, Серебро матовое</t>
  </si>
  <si>
    <t>Профиль-крышка полки с подсветкой, Чёрный матовый</t>
  </si>
  <si>
    <t>Профиль-крышка полки с подсветкой, Шампань матовая</t>
  </si>
  <si>
    <t>Рассеиватель полки с подсветкой vA, L=2700, белый матовый</t>
  </si>
  <si>
    <t>Рассеиватель полки с подсветкой vA, L=2700, Чёрный матовый</t>
  </si>
  <si>
    <t>Уголки соед. полки с подсветкой, 4 шт, Серебро матовое</t>
  </si>
  <si>
    <t>Уголки соед. полки с подсветкой, 4 шт, Чёрный матовый</t>
  </si>
  <si>
    <t>Уголки соед. полки с подсветкой, 4 шт, Шампань матовая</t>
  </si>
  <si>
    <t>Профиль рамочный узкий 681, с ручкой, Шампань матовая</t>
  </si>
  <si>
    <t>Профиль рамочный узкий 680, Шампань матовая</t>
  </si>
  <si>
    <t>ИРА</t>
  </si>
  <si>
    <t>Петли AIR 105, Никель</t>
  </si>
  <si>
    <t>Уголок соед. для для петель AIR  под алюмин. профиль, Серебро матовое</t>
  </si>
  <si>
    <t>DA0105.VP000.SLMEP.CN</t>
  </si>
  <si>
    <t>AA0717.VP540.BKSPC.CJ</t>
  </si>
  <si>
    <t>AA0033.VM100.BK000.RK</t>
  </si>
  <si>
    <t>Уплотнитель для штанги, чёрный (100 м)</t>
  </si>
  <si>
    <t>сумма + отх</t>
  </si>
  <si>
    <t>уплот</t>
  </si>
  <si>
    <t>Уплотнитель для штанги, чёрный</t>
  </si>
  <si>
    <t>профили</t>
  </si>
  <si>
    <t>профиль</t>
  </si>
  <si>
    <t>арт</t>
  </si>
  <si>
    <t>вставка</t>
  </si>
  <si>
    <t>Фасад</t>
  </si>
  <si>
    <t>Профиль</t>
  </si>
  <si>
    <t>Вставка</t>
  </si>
  <si>
    <t>Арт xml грасс</t>
  </si>
  <si>
    <t>Рамочный</t>
  </si>
  <si>
    <t>ручка</t>
  </si>
  <si>
    <t>поиск</t>
  </si>
  <si>
    <t>артикулы профилей поиск</t>
  </si>
  <si>
    <t>Да</t>
  </si>
  <si>
    <t>Нет</t>
  </si>
  <si>
    <t>есть ручка</t>
  </si>
  <si>
    <t>полноенаим</t>
  </si>
  <si>
    <t>Арт профиля</t>
  </si>
  <si>
    <t>Арт вставки</t>
  </si>
  <si>
    <t>Ручка</t>
  </si>
  <si>
    <t>цвет профиля арт</t>
  </si>
  <si>
    <t>Высота</t>
  </si>
  <si>
    <t>Ширина</t>
  </si>
  <si>
    <t>Количество</t>
  </si>
  <si>
    <t>длина + отход</t>
  </si>
  <si>
    <t>артикул вставки</t>
  </si>
  <si>
    <t>Петли</t>
  </si>
  <si>
    <t>Уголок</t>
  </si>
  <si>
    <t>Уплотнитель</t>
  </si>
  <si>
    <t>Никель</t>
  </si>
  <si>
    <t>Титан</t>
  </si>
  <si>
    <t>цвет петель</t>
  </si>
  <si>
    <t>Цвет петель</t>
  </si>
  <si>
    <t>Цвет:</t>
  </si>
  <si>
    <t>Арт</t>
  </si>
  <si>
    <t>DA0105.VP000.BKMEP.CN</t>
  </si>
  <si>
    <t>Петли AIR 105, Титан</t>
  </si>
  <si>
    <t>Уголок соед. для для петель AIR  под алюмин. профиль, Черный мат.</t>
  </si>
  <si>
    <t>Петли?</t>
  </si>
  <si>
    <t>Сумма:</t>
  </si>
  <si>
    <t>Фасад #</t>
  </si>
  <si>
    <t>итого</t>
  </si>
  <si>
    <t>цена вставки</t>
  </si>
  <si>
    <t>высота вставки</t>
  </si>
  <si>
    <t>ширина вставки</t>
  </si>
  <si>
    <t>площадь вставки</t>
  </si>
  <si>
    <t>стоимость вставки</t>
  </si>
  <si>
    <t>DE0680.VP540.BKSPC.CJ</t>
  </si>
  <si>
    <t>Профиль рамочный узкий 680, Чёрный матовый</t>
  </si>
  <si>
    <t>DE0681.VP540.BKSPC.CJ</t>
  </si>
  <si>
    <t>Профиль рамочный узкий 681, с ручкой, Чёрный матовый</t>
  </si>
  <si>
    <t>Профиль с ручкой вертикальный</t>
  </si>
  <si>
    <t>Фасад, Рамочный узкий профиль</t>
  </si>
  <si>
    <t>P.1.Gp4.(z)</t>
  </si>
  <si>
    <t>P.1.Gp4.(z.gr)</t>
  </si>
  <si>
    <t>Вариант освещения</t>
  </si>
  <si>
    <t xml:space="preserve">Варианты освещения </t>
  </si>
  <si>
    <t>Освещение Duslar</t>
  </si>
  <si>
    <t>Освещение GLS</t>
  </si>
  <si>
    <t>Светодиодная лента DLIGHT 4000к (холодный)</t>
  </si>
  <si>
    <t>Светодиодная лента 3000к (теплный)</t>
  </si>
  <si>
    <t>Светодиодная лента 4000к (холодный)</t>
  </si>
  <si>
    <t>04.800.00.030</t>
  </si>
  <si>
    <t>19.143.37.549</t>
  </si>
  <si>
    <t>19.143.37.550</t>
  </si>
  <si>
    <t>19.143.37.252</t>
  </si>
  <si>
    <t>19.143.37.551</t>
  </si>
  <si>
    <t>19.143.37.544</t>
  </si>
  <si>
    <r>
      <t xml:space="preserve">КСС Ист.пит. LED 220/12VDC </t>
    </r>
    <r>
      <rPr>
        <b/>
        <sz val="11"/>
        <color theme="1"/>
        <rFont val="Calibri"/>
        <family val="2"/>
        <charset val="204"/>
        <scheme val="minor"/>
      </rPr>
      <t>10W</t>
    </r>
    <r>
      <rPr>
        <sz val="11"/>
        <color theme="1"/>
        <rFont val="Calibri"/>
        <family val="2"/>
        <charset val="204"/>
        <scheme val="minor"/>
      </rPr>
      <t xml:space="preserve"> + Кон. мама, 0,2 м, 2x0.34mm2,с обл. концами черный+ 1.0 м ШВВП-ВП 2х0,5мм с вилкой белый</t>
    </r>
  </si>
  <si>
    <r>
      <t xml:space="preserve">КСС Ист.пит. LED 220/12VDC max </t>
    </r>
    <r>
      <rPr>
        <b/>
        <sz val="11"/>
        <color theme="1"/>
        <rFont val="Calibri"/>
        <family val="2"/>
        <charset val="204"/>
        <scheme val="minor"/>
      </rPr>
      <t>15W</t>
    </r>
    <r>
      <rPr>
        <sz val="11"/>
        <color theme="1"/>
        <rFont val="Calibri"/>
        <family val="2"/>
        <charset val="204"/>
        <scheme val="minor"/>
      </rPr>
      <t xml:space="preserve"> + Кон. мама, 0,2 м, 2x0.34mm2,с обл. концами черный+ 1.0 м ШВВП-ВП 2х0,5м</t>
    </r>
  </si>
  <si>
    <r>
      <t>КСС ИП 12V-</t>
    </r>
    <r>
      <rPr>
        <b/>
        <sz val="11"/>
        <color theme="1"/>
        <rFont val="Calibri"/>
        <family val="2"/>
        <charset val="204"/>
        <scheme val="minor"/>
      </rPr>
      <t>36W</t>
    </r>
    <r>
      <rPr>
        <sz val="11"/>
        <color theme="1"/>
        <rFont val="Calibri"/>
        <family val="2"/>
        <charset val="204"/>
        <scheme val="minor"/>
      </rPr>
      <t>, 92х50х18мм, IP44, тонк.пласт.корп, 3М, вх 2х0,5мм² 1м с вилкой + кон.LED ( мама)</t>
    </r>
  </si>
  <si>
    <r>
      <t>КСС ИП 12V-</t>
    </r>
    <r>
      <rPr>
        <b/>
        <sz val="11"/>
        <color theme="1"/>
        <rFont val="Calibri"/>
        <family val="2"/>
        <charset val="204"/>
        <scheme val="minor"/>
      </rPr>
      <t>60W</t>
    </r>
    <r>
      <rPr>
        <sz val="11"/>
        <color theme="1"/>
        <rFont val="Calibri"/>
        <family val="2"/>
        <charset val="204"/>
        <scheme val="minor"/>
      </rPr>
      <t xml:space="preserve"> + Кон. мама, 0,2 м, 2x0.34mm2,с обл. концами черный+ 1.0 м ШВВП-ВП 2х0,5м</t>
    </r>
  </si>
  <si>
    <t>Разветвитель параллел. мини, 12Вх6, max 3A, (выход 6 LED коннекторов L815 мама), черный,  с пров. 2x0.34мм², L=1,5м, с коннектором L813 (папа), 58,5x28,3x10мм</t>
  </si>
  <si>
    <t>КСС Коннектор LED L815, мама, кабель 2 м, 2x0.34mm2,с L813 папа</t>
  </si>
  <si>
    <t>19.143.36.410</t>
  </si>
  <si>
    <t>КСС Провод питания для LED лент 8мм, 100см, 2х0,3мм², белый+LED коннектор (папа)</t>
  </si>
  <si>
    <t>Соединительный провод 2хAWG22 с коннектором LED (папа), 2,0м, черный, облуж. концы</t>
  </si>
  <si>
    <t>15.009.04.013</t>
  </si>
  <si>
    <t>10W</t>
  </si>
  <si>
    <t>15W</t>
  </si>
  <si>
    <t>36W</t>
  </si>
  <si>
    <t>60W</t>
  </si>
  <si>
    <t>Блоки питания GLS</t>
  </si>
  <si>
    <t>блоки питания GLS</t>
  </si>
  <si>
    <t>Кабель-удлинитель 2 м штекер-мама/папа</t>
  </si>
  <si>
    <t>Переходник для подключения до 6-ти LED</t>
  </si>
  <si>
    <t>Фасадные двери EGDE</t>
  </si>
  <si>
    <t>AL полка EDGE</t>
  </si>
  <si>
    <t>Вешало EDGE</t>
  </si>
  <si>
    <t>Европа</t>
  </si>
  <si>
    <t>РФ+КНР</t>
  </si>
  <si>
    <t>вставки ИРА</t>
  </si>
  <si>
    <t>вставки ОПТ</t>
  </si>
  <si>
    <t>ОПТ</t>
  </si>
  <si>
    <t>Светодиодная лента (м.п)</t>
  </si>
  <si>
    <t>У.Е.</t>
  </si>
  <si>
    <t>43-0152</t>
  </si>
  <si>
    <t>43-0159</t>
  </si>
  <si>
    <t>43-0151</t>
  </si>
  <si>
    <t>43-1782</t>
  </si>
  <si>
    <t>43-0158</t>
  </si>
  <si>
    <t>43-0157</t>
  </si>
  <si>
    <t>43-0156</t>
  </si>
  <si>
    <t>43-0155</t>
  </si>
  <si>
    <t>43-0154</t>
  </si>
  <si>
    <t>43-0150</t>
  </si>
  <si>
    <t>43-0148</t>
  </si>
  <si>
    <t>43-0143</t>
  </si>
  <si>
    <t>43-0147</t>
  </si>
  <si>
    <t>43-0146</t>
  </si>
  <si>
    <t>43-0149</t>
  </si>
  <si>
    <t>43-0144</t>
  </si>
  <si>
    <t>43-0145</t>
  </si>
  <si>
    <t>43-1340</t>
  </si>
  <si>
    <t>43-1342</t>
  </si>
  <si>
    <t>43-1343</t>
  </si>
  <si>
    <t>43-1344</t>
  </si>
  <si>
    <t>P.1.Gp4.(z.osv)</t>
  </si>
  <si>
    <t>ARR-0335</t>
  </si>
  <si>
    <t>Скотч АРИСТО 2021 06.21</t>
  </si>
  <si>
    <t>Дата</t>
  </si>
  <si>
    <t>Изменения</t>
  </si>
  <si>
    <t>Комментарии</t>
  </si>
  <si>
    <t>Исполнитель</t>
  </si>
  <si>
    <t>Изменен скотч аристо</t>
  </si>
  <si>
    <t>Женя</t>
  </si>
  <si>
    <t xml:space="preserve">Корректировка выгрузки Вешало в xml на уплотнитель. </t>
  </si>
  <si>
    <t>Скорректирован дележ на вешалку с 5400 на 5300</t>
  </si>
  <si>
    <t>Денис</t>
  </si>
  <si>
    <t>Изменение цен Аристо от 12.05.2022</t>
  </si>
  <si>
    <t>Треки Фурнитура</t>
  </si>
  <si>
    <t>Корректировка выгрузки в ERP фасады EDGE, уголки статья калькуляции "Фурнитура"</t>
  </si>
  <si>
    <t>Корректировка выгрузки в ERP вешало. Корректировка статьи калькуляции Треки Фурнитура
Корректировка примечания, кол-во, мм так же как и треки в дверях</t>
  </si>
  <si>
    <t>Изменены артикулы на вставки grey и bronze</t>
  </si>
  <si>
    <t>Теперь S.1</t>
  </si>
  <si>
    <t>Исправлен подбор артикула к вставкам grey и bronze</t>
  </si>
  <si>
    <t>Обновление ц6ен</t>
  </si>
  <si>
    <t xml:space="preserve">Профиль рамочный узкий 705, Чёрный матовый </t>
  </si>
  <si>
    <t>Профиль рамочный узкий 718, с ручкой, Чёрный матовый</t>
  </si>
  <si>
    <t>DE0705.VP540.BKSPC.CJ</t>
  </si>
  <si>
    <t>DE0718.VP540.BKSPC.CJ</t>
  </si>
  <si>
    <t xml:space="preserve">Уплотнитель к профилям EDGE Max, L=3000 </t>
  </si>
  <si>
    <t>DE0549.VP300.TR000.CN</t>
  </si>
  <si>
    <t xml:space="preserve">м.п </t>
  </si>
  <si>
    <t>Замена черного профиля для фасадов EDGE с 600 на 700, добавление уплотнителя для макс</t>
  </si>
  <si>
    <t>от Архиповой 04.08.2022</t>
  </si>
  <si>
    <t>Клиент БЕЗ НДС</t>
  </si>
  <si>
    <t>В xml добавлен режим цен с/без НДС</t>
  </si>
  <si>
    <t>Исправлены расчеты цен в xml</t>
  </si>
  <si>
    <t>Корректировка выгрузки "Вешало" в xml. Добавил характеристику и списание частями.</t>
  </si>
  <si>
    <t>Корректировка стоимости стекло GOUFRE</t>
  </si>
  <si>
    <t>Добавлено ограничение минимального размера присадки 36мм</t>
  </si>
  <si>
    <t>Ф1</t>
  </si>
  <si>
    <t>Ф2</t>
  </si>
  <si>
    <t>Ф3</t>
  </si>
  <si>
    <t>Ф4</t>
  </si>
  <si>
    <t>Ф5</t>
  </si>
  <si>
    <t>Ф6</t>
  </si>
  <si>
    <t>Ф7</t>
  </si>
  <si>
    <t>Ф8</t>
  </si>
  <si>
    <t>Ф9</t>
  </si>
  <si>
    <t>Ф10</t>
  </si>
  <si>
    <t>Корректировка xml, добавлена уникальная характеристика каждого фасада</t>
  </si>
  <si>
    <t>коэфц</t>
  </si>
  <si>
    <t>Корректировка коэф</t>
  </si>
  <si>
    <t>Фото</t>
  </si>
  <si>
    <t>Выделение</t>
  </si>
  <si>
    <t>Заказ</t>
  </si>
  <si>
    <t>Наполнение А</t>
  </si>
  <si>
    <t>Наполнение В</t>
  </si>
  <si>
    <t>Наполнение С</t>
  </si>
  <si>
    <t>Наполнение D</t>
  </si>
  <si>
    <t>Наполнение E</t>
  </si>
  <si>
    <t>Наполнение F</t>
  </si>
  <si>
    <t>Папка модели</t>
  </si>
  <si>
    <t>Модель</t>
  </si>
  <si>
    <t>Система new</t>
  </si>
  <si>
    <t>Тип системы</t>
  </si>
  <si>
    <t>Тип профиля</t>
  </si>
  <si>
    <t>Цвет системы</t>
  </si>
  <si>
    <t>Порядковый номер двери</t>
  </si>
  <si>
    <t>Высота двери</t>
  </si>
  <si>
    <t>Ширина двери</t>
  </si>
  <si>
    <t>Ручка Левая</t>
  </si>
  <si>
    <t>Ручка правая</t>
  </si>
  <si>
    <t>Доводчик левый</t>
  </si>
  <si>
    <t>Доводчик правый</t>
  </si>
  <si>
    <t>Высота ручки, мм</t>
  </si>
  <si>
    <t>Fasad EDGE ST</t>
  </si>
  <si>
    <t>Данные из заказа покупателя</t>
  </si>
  <si>
    <t>Фасады и полки</t>
  </si>
  <si>
    <t xml:space="preserve">Фасад </t>
  </si>
  <si>
    <t>Фасад 1</t>
  </si>
  <si>
    <t>Фасад 2</t>
  </si>
  <si>
    <t>Фасад 3</t>
  </si>
  <si>
    <t>Фасад 4</t>
  </si>
  <si>
    <t>Фасад 5</t>
  </si>
  <si>
    <t>Фасад 6</t>
  </si>
  <si>
    <t>Фасад 7</t>
  </si>
  <si>
    <t>Фасад 8</t>
  </si>
  <si>
    <t>Фасад 9</t>
  </si>
  <si>
    <t>Фасад 10</t>
  </si>
  <si>
    <t>Прим начало (Размер)</t>
  </si>
  <si>
    <t>Прим окончание 
(Кол-во)</t>
  </si>
  <si>
    <t>Характеристика 
(Размер вставки)</t>
  </si>
  <si>
    <t>Al.Polka EDGE ST</t>
  </si>
  <si>
    <t>Полка</t>
  </si>
  <si>
    <t>Добавлены ERP выгрузки для фасадов и полок</t>
  </si>
  <si>
    <t>Серебро матовое</t>
  </si>
  <si>
    <t>DE0105.VS000.NI0EP.IE</t>
  </si>
  <si>
    <t>DE0105.VS000.TI0EP.IE</t>
  </si>
  <si>
    <t>Изменение артикулов на петли AIR с IS. На IE. Так же изменении цен</t>
  </si>
  <si>
    <t>Исправлен вывод цен в xml в режиме Клиент С НДС</t>
  </si>
  <si>
    <t>Исправлен поиск артикула Серебро матовое</t>
  </si>
  <si>
    <t>было старое название</t>
  </si>
  <si>
    <t>Исправлена ссылка на цвет полок для erp_полки</t>
  </si>
  <si>
    <t>ссылалась на лист фасадов</t>
  </si>
  <si>
    <t>Обработка</t>
  </si>
  <si>
    <t>Обработка ст?</t>
  </si>
  <si>
    <t>Обработка стекла</t>
  </si>
  <si>
    <t>обработка вставки</t>
  </si>
  <si>
    <t>вставки в полки</t>
  </si>
  <si>
    <t>ира</t>
  </si>
  <si>
    <t>опт</t>
  </si>
  <si>
    <t>Арт Вставки</t>
  </si>
  <si>
    <t>Цена Вставки м.</t>
  </si>
  <si>
    <t>Добавлена система расчетов обработки стекол</t>
  </si>
  <si>
    <t>Удалены варианты выбора "без вставки"</t>
  </si>
  <si>
    <t>Создавало ошибки в выгрузках erp</t>
  </si>
  <si>
    <t>Исправлены расчеты без вставок, добавлены примечания</t>
  </si>
  <si>
    <t>Исправлена генерация артикулов без вставок, исправлены мелкие ошибки без вставок</t>
  </si>
  <si>
    <t>Исправлено отображение количества лент в выгрузках при отсутствии лент в заказе</t>
  </si>
  <si>
    <t>даже при артикуле н/д, позиция выгружалась в 1c пустотой</t>
  </si>
  <si>
    <t>Исправлен поиск артикула вставок в полки в выгрузке erp</t>
  </si>
  <si>
    <t>DE0680.VP540.SLMAN.CJ</t>
  </si>
  <si>
    <t>DE0681.VP540.SLMAN.CJ</t>
  </si>
  <si>
    <t xml:space="preserve">            Профиль рамочный узкий 681, с ручкой, Серебро матовое</t>
  </si>
  <si>
    <t xml:space="preserve">            Профиль рамочный узкий 680, Серебро матовое</t>
  </si>
  <si>
    <t>Замена профилей Серебро матовое с 560 и 598 на 680 и 681</t>
  </si>
  <si>
    <t>2023г.</t>
  </si>
  <si>
    <t>$B$3:$I$21</t>
  </si>
  <si>
    <t>Добавлено автовыделение для печати выгрузки erp
Обновлен вид выгрузки для лучшей читаемости на печати</t>
  </si>
  <si>
    <t>SA0033.VM100.BK000.RK</t>
  </si>
  <si>
    <t>Корректировка цен Аристо от 08.02.23</t>
  </si>
  <si>
    <t>DE0253.VS000.BKSPC.CN</t>
  </si>
  <si>
    <t>DE0253.VS000.SLMPC.CN</t>
  </si>
  <si>
    <t>Изменены артикулы уголков соед для черный матовый и серебро матовое</t>
  </si>
  <si>
    <t>изменена цена enigma grey</t>
  </si>
  <si>
    <t>Добавлено ограничение ввода значений размеров до целого</t>
  </si>
  <si>
    <t>также осветлен цвет ячеек ввода размеров</t>
  </si>
  <si>
    <t>75W</t>
  </si>
  <si>
    <t>06.800.01.353</t>
  </si>
  <si>
    <t>105W</t>
  </si>
  <si>
    <t>06.800.01.354</t>
  </si>
  <si>
    <t>GLS Источник питания 12V-75W вход и выход колодки</t>
  </si>
  <si>
    <t>GLS Источник питания 12V-105W вход и выход колодки</t>
  </si>
  <si>
    <t>Добавлены трансформаторы 75W и 105W в AL полки</t>
  </si>
  <si>
    <t>S.1.Gpo4.(st)</t>
  </si>
  <si>
    <t>S.1.Gpo4.(st.raywall)</t>
  </si>
  <si>
    <t>S.1.Gpo4.(st.osv)</t>
  </si>
  <si>
    <t>S.1.Gpo4.(st.PhGr)</t>
  </si>
  <si>
    <t>S.1.Gpo4.(st.gr)</t>
  </si>
  <si>
    <t>S.1.Gpo4.(st.br)</t>
  </si>
  <si>
    <t>S.1.Gpo4.(st.phoenix)</t>
  </si>
  <si>
    <t>изменены артикулы на стекла (на Gpo4)</t>
  </si>
  <si>
    <t>соответственно изменены цены</t>
  </si>
  <si>
    <t>исправлены артикулы для вставок в полки на стекла</t>
  </si>
  <si>
    <t>также на Gpo4</t>
  </si>
  <si>
    <t>Изменение цен Аристо от 01.04.2023</t>
  </si>
  <si>
    <t>У1</t>
  </si>
  <si>
    <t>П1</t>
  </si>
  <si>
    <t>У2</t>
  </si>
  <si>
    <t>П2</t>
  </si>
  <si>
    <t>П3</t>
  </si>
  <si>
    <t>У3</t>
  </si>
  <si>
    <t>У4</t>
  </si>
  <si>
    <t>П4</t>
  </si>
  <si>
    <t>У5</t>
  </si>
  <si>
    <t>П5</t>
  </si>
  <si>
    <t>У6</t>
  </si>
  <si>
    <t>П6</t>
  </si>
  <si>
    <t>У7</t>
  </si>
  <si>
    <t>П7</t>
  </si>
  <si>
    <t>У8</t>
  </si>
  <si>
    <t>П8</t>
  </si>
  <si>
    <t>У9</t>
  </si>
  <si>
    <t>П9</t>
  </si>
  <si>
    <t>Добавлена характеристика для фасадов EDGE, петли и уголки. Т.к. ранее схлоповались в 1С при заказе поставщику</t>
  </si>
  <si>
    <t>15.800.00.041</t>
  </si>
  <si>
    <t>Замена артикулов в освещение</t>
  </si>
  <si>
    <t>1.	Было      
           Наименование: GLS Лента светодиодная 8мм 120 LED/м 12V-9,6W/м 3000к (теплый)
           Артикул: 04.800.00.032 
Стало    
           Наименование: GLS Лента светодиодная 8мм 120 LED/м 12V-9,6W/м 3000к (теплый) 
           Артикул: 04.800.00.072
2.	Было      
           Наименование: GLS Разветвитель на 6 LED коннекторов L815(мама)  L=1,5м 12V max 3A вход L813 (папа)
           Артикул: 19.143.36.499
Стало    
           Наименование: GLS Разветвитель на 6 LED коннекторов L815(мама)  L=1,5м 12V max 3A вход L813 (папа) 
           Артикул: 15.800.00.041</t>
  </si>
  <si>
    <t>Исправлена ошибка в расчете полки с подстветкой заказщика. Не верная формула</t>
  </si>
  <si>
    <t>04.800.00.072</t>
  </si>
  <si>
    <t>Исправлена ошибка в артикуле на 3000к, почему то не изменил артикул с 032 на 072.</t>
  </si>
  <si>
    <t>Отмена разделение продукции ИРА/ОПТ</t>
  </si>
  <si>
    <t>Изменение цен Аристо от 28.04.2023</t>
  </si>
  <si>
    <t>профили max</t>
  </si>
  <si>
    <t>выбор стороны ручек</t>
  </si>
  <si>
    <t>выбор фурнитуры петли</t>
  </si>
  <si>
    <t>ЦветГруппа</t>
  </si>
  <si>
    <t>ВыборПетель</t>
  </si>
  <si>
    <t>Доступные цвета фурнитуры - не перемешивать</t>
  </si>
  <si>
    <t>Комплекты фурнитуры EDGE</t>
  </si>
  <si>
    <t>Комплекты фурнитуры MAX</t>
  </si>
  <si>
    <t>DE0030.VS000.BKMAN.IE</t>
  </si>
  <si>
    <t>DE0030.VS000.ZN0EP.IE</t>
  </si>
  <si>
    <t>выбор петель строка</t>
  </si>
  <si>
    <t>РамочныйДа</t>
  </si>
  <si>
    <t>DE0709.VP540.BKSPC.CJ</t>
  </si>
  <si>
    <t>РамочныйНет</t>
  </si>
  <si>
    <t>DE0708.VP540.BKSPC.CJ</t>
  </si>
  <si>
    <t>артикулы профилей MAX</t>
  </si>
  <si>
    <t>С/C</t>
  </si>
  <si>
    <t>Профиль рамочный узкий 708, Чёрный матовый</t>
  </si>
  <si>
    <t>Профиль рамочный узкий 709, с ручкой, Чёрный матовый</t>
  </si>
  <si>
    <t>Петля EDGE Max скрытого монтажа, плавного закрывания, Чёрный анод.</t>
  </si>
  <si>
    <t>компл</t>
  </si>
  <si>
    <t>Уголки соединительные EDGE Max для алюминиевого профиля</t>
  </si>
  <si>
    <t>Двери EDGE MAX</t>
  </si>
  <si>
    <t>Двери EDGE</t>
  </si>
  <si>
    <t>ФурнитураMAX</t>
  </si>
  <si>
    <t>Заказ №</t>
  </si>
  <si>
    <t>П.П.</t>
  </si>
  <si>
    <t>ОТК</t>
  </si>
  <si>
    <t>ФИО Покупателя</t>
  </si>
  <si>
    <t>Фасады EDGE MAX на скрытых петлях</t>
  </si>
  <si>
    <t>Цена итог</t>
  </si>
  <si>
    <t>Изменено списание светодиодной ленты в полках</t>
  </si>
  <si>
    <t xml:space="preserve"> +10% от длины / 5 метров</t>
  </si>
  <si>
    <t>Итого</t>
  </si>
  <si>
    <t>Изменены расчеты списания профилей в erp</t>
  </si>
  <si>
    <t>добавлено 10% и умножено на количество профилей (по количеству фасадов)</t>
  </si>
  <si>
    <t>Стекло м1 (зеленое), сатинат</t>
  </si>
  <si>
    <t>S.1.Gp4.(st.sat)</t>
  </si>
  <si>
    <t>Добавлено стекло м1 сатинат</t>
  </si>
  <si>
    <t>У10</t>
  </si>
  <si>
    <t>П10</t>
  </si>
  <si>
    <t>Фасадные двери EGDE MAX</t>
  </si>
  <si>
    <t>Фасады EDGE на скрытых петлях</t>
  </si>
  <si>
    <t>Релизная версия</t>
  </si>
  <si>
    <t>Исправлены ошибки, добавлены ограничения</t>
  </si>
  <si>
    <t>Исправлен артикул enigma grey в полки</t>
  </si>
  <si>
    <t>P.1.Gp4.(z.br)</t>
  </si>
  <si>
    <t>P.1.Gp4.(sat)</t>
  </si>
  <si>
    <t>P.1.Gp4.(z.satgr)</t>
  </si>
  <si>
    <t>P.1.Gp4.(z.satbr)</t>
  </si>
  <si>
    <t>P.1.Gp4.(st.bl)</t>
  </si>
  <si>
    <t>P.1.Gp4.(st.lac1013)</t>
  </si>
  <si>
    <t>P.1.Gp4.(st.satosvwh)</t>
  </si>
  <si>
    <t>Изменены артикулы некоторых вставок на подолино</t>
  </si>
  <si>
    <t>Исправлена ошибка поиска наименования для выгрузок erp в фасадах</t>
  </si>
  <si>
    <t>Исправлена статья калькуляции фурнитуры в edge max</t>
  </si>
  <si>
    <t>Исправлены позиции с ошибками для выгрузки xml</t>
  </si>
  <si>
    <t>Добавлена точка для выгрузки позиций с пустой вставкой</t>
  </si>
  <si>
    <t>Исправлена светодиодная лента в xml</t>
  </si>
  <si>
    <t>EDGE макс ширина увеличина до 600</t>
  </si>
  <si>
    <t>Исправлена формула расчета клейкой ленты</t>
  </si>
  <si>
    <t>Изменена цена Gaufre</t>
  </si>
  <si>
    <t>Исправлен поиск артикула стекло освет optiwhite в полках</t>
  </si>
  <si>
    <t>Добавлена генерация ошибочной цены если не находилась вставка в полки</t>
  </si>
  <si>
    <t>раньше вставка считалась в 0, если артикул был не найден</t>
  </si>
  <si>
    <t>Edge max изменена генерация артикула вставки на .EDGE MAX.</t>
  </si>
  <si>
    <t>Потребление</t>
  </si>
  <si>
    <t>Стетодиодка GLS</t>
  </si>
  <si>
    <t>Светодиоды</t>
  </si>
  <si>
    <t>Алюминевые полки</t>
  </si>
  <si>
    <t>Потребление светодиодной ленты</t>
  </si>
  <si>
    <t>потребление за м.п.</t>
  </si>
  <si>
    <t>Ватт</t>
  </si>
  <si>
    <t>трансформатор</t>
  </si>
  <si>
    <t>Добавлена проверка мощности трансформатора для полок с подсветкой</t>
  </si>
  <si>
    <t>Исправлена генерация xml и erp</t>
  </si>
  <si>
    <t>удален весь пиздец, завязанный на неиспользуемую электрику</t>
  </si>
  <si>
    <t>Изменение цен Аристо от 14.07.2023</t>
  </si>
  <si>
    <t>Цена от 22.08.2023</t>
  </si>
  <si>
    <t>Изменение цен Аристо от 22.08.2023</t>
  </si>
  <si>
    <t>"+5%"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</si>
</sst>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#,##0\ &quot;₽&quot;;\-#,##0\ &quot;₽&quot;"/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#,##0.00&quot;р.&quot;"/>
    <numFmt numFmtId="166" formatCode="#,##0_р_."/>
    <numFmt numFmtId="167" formatCode="#,##0&quot;р.&quot;"/>
    <numFmt numFmtId="168" formatCode="0.00&quot; руб.&quot;"/>
    <numFmt numFmtId="169" formatCode="#,##0\ &quot;₽&quot;"/>
    <numFmt numFmtId="170" formatCode="0.0"/>
    <numFmt numFmtId="171" formatCode="#,##0&quot; мм&quot;"/>
    <numFmt numFmtId="172" formatCode="0.000"/>
    <numFmt numFmtId="173" formatCode="_-* #,##0.00\ [$₽-419]_-;\-* #,##0.00\ [$₽-419]_-;_-* &quot;-&quot;??\ [$₽-419]_-;_-@_-"/>
    <numFmt numFmtId="174" formatCode="&quot;Редакция от &quot;dd/mm/yyyy"/>
    <numFmt numFmtId="175" formatCode="#&quot;W&quot;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0070C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trike/>
      <u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9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i/>
      <sz val="11"/>
      <color theme="0"/>
      <name val="Calibri"/>
      <family val="2"/>
      <charset val="204"/>
    </font>
    <font>
      <i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sz val="11"/>
      <name val="Calibri"/>
      <family val="2"/>
      <charset val="204"/>
    </font>
    <font>
      <sz val="8"/>
      <color theme="0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28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0" fontId="1" fillId="0" borderId="0"/>
    <xf numFmtId="0" fontId="17" fillId="0" borderId="0"/>
    <xf numFmtId="0" fontId="3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5" fillId="0" borderId="43" applyNumberFormat="0" applyFill="0" applyAlignment="0" applyProtection="0"/>
    <xf numFmtId="0" fontId="4" fillId="0" borderId="44" applyNumberFormat="0" applyFill="0" applyAlignment="0" applyProtection="0"/>
    <xf numFmtId="0" fontId="40" fillId="0" borderId="0" applyNumberFormat="0" applyFill="0" applyBorder="0" applyAlignment="0" applyProtection="0"/>
    <xf numFmtId="0" fontId="57" fillId="0" borderId="50" applyNumberFormat="0" applyFill="0" applyAlignment="0" applyProtection="0"/>
  </cellStyleXfs>
  <cellXfs count="681">
    <xf numFmtId="0" fontId="0" fillId="0" borderId="0" xfId="0"/>
    <xf numFmtId="167" fontId="6" fillId="0" borderId="0" xfId="0" applyNumberFormat="1" applyFont="1" applyProtection="1">
      <protection hidden="1"/>
    </xf>
    <xf numFmtId="0" fontId="6" fillId="3" borderId="14" xfId="0" applyFont="1" applyFill="1" applyBorder="1" applyProtection="1">
      <protection hidden="1"/>
    </xf>
    <xf numFmtId="0" fontId="6" fillId="3" borderId="11" xfId="0" applyFont="1" applyFill="1" applyBorder="1" applyProtection="1">
      <protection hidden="1"/>
    </xf>
    <xf numFmtId="166" fontId="6" fillId="0" borderId="1" xfId="0" applyNumberFormat="1" applyFont="1" applyBorder="1" applyProtection="1">
      <protection hidden="1"/>
    </xf>
    <xf numFmtId="0" fontId="6" fillId="0" borderId="0" xfId="0" applyFont="1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0" fontId="6" fillId="3" borderId="5" xfId="0" applyFont="1" applyFill="1" applyBorder="1" applyProtection="1">
      <protection hidden="1"/>
    </xf>
    <xf numFmtId="0" fontId="6" fillId="3" borderId="15" xfId="0" applyFont="1" applyFill="1" applyBorder="1" applyProtection="1">
      <protection hidden="1"/>
    </xf>
    <xf numFmtId="0" fontId="9" fillId="0" borderId="0" xfId="0" applyFont="1" applyProtection="1">
      <protection hidden="1"/>
    </xf>
    <xf numFmtId="166" fontId="6" fillId="0" borderId="0" xfId="0" applyNumberFormat="1" applyFont="1" applyProtection="1">
      <protection hidden="1"/>
    </xf>
    <xf numFmtId="2" fontId="6" fillId="0" borderId="0" xfId="0" applyNumberFormat="1" applyFont="1" applyProtection="1">
      <protection hidden="1"/>
    </xf>
    <xf numFmtId="0" fontId="6" fillId="3" borderId="9" xfId="0" applyFont="1" applyFill="1" applyBorder="1" applyProtection="1">
      <protection hidden="1"/>
    </xf>
    <xf numFmtId="0" fontId="6" fillId="3" borderId="7" xfId="0" applyFont="1" applyFill="1" applyBorder="1" applyProtection="1">
      <protection hidden="1"/>
    </xf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11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6" fillId="0" borderId="3" xfId="0" applyFont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2" xfId="0" applyFont="1" applyBorder="1" applyProtection="1">
      <protection hidden="1"/>
    </xf>
    <xf numFmtId="165" fontId="6" fillId="0" borderId="2" xfId="0" applyNumberFormat="1" applyFont="1" applyBorder="1" applyProtection="1">
      <protection hidden="1"/>
    </xf>
    <xf numFmtId="164" fontId="6" fillId="0" borderId="2" xfId="0" applyNumberFormat="1" applyFont="1" applyBorder="1" applyProtection="1">
      <protection hidden="1"/>
    </xf>
    <xf numFmtId="0" fontId="12" fillId="0" borderId="0" xfId="0" applyFont="1" applyProtection="1">
      <protection hidden="1"/>
    </xf>
    <xf numFmtId="0" fontId="6" fillId="0" borderId="9" xfId="0" applyFont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1" fontId="6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1" fontId="6" fillId="0" borderId="0" xfId="0" applyNumberFormat="1" applyFont="1" applyAlignment="1" applyProtection="1">
      <alignment horizontal="right"/>
      <protection hidden="1"/>
    </xf>
    <xf numFmtId="0" fontId="12" fillId="0" borderId="18" xfId="0" applyFont="1" applyBorder="1" applyProtection="1">
      <protection hidden="1"/>
    </xf>
    <xf numFmtId="0" fontId="6" fillId="0" borderId="16" xfId="0" applyFont="1" applyBorder="1" applyProtection="1">
      <protection hidden="1"/>
    </xf>
    <xf numFmtId="0" fontId="6" fillId="0" borderId="18" xfId="0" applyFont="1" applyBorder="1" applyProtection="1">
      <protection hidden="1"/>
    </xf>
    <xf numFmtId="0" fontId="12" fillId="0" borderId="20" xfId="0" applyFont="1" applyBorder="1" applyAlignment="1" applyProtection="1">
      <alignment vertical="top"/>
      <protection hidden="1"/>
    </xf>
    <xf numFmtId="0" fontId="12" fillId="0" borderId="17" xfId="0" applyFont="1" applyBorder="1" applyAlignment="1" applyProtection="1">
      <alignment vertical="top"/>
      <protection hidden="1"/>
    </xf>
    <xf numFmtId="0" fontId="6" fillId="0" borderId="17" xfId="0" applyFont="1" applyBorder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7" fillId="0" borderId="0" xfId="6"/>
    <xf numFmtId="0" fontId="17" fillId="0" borderId="0" xfId="6" applyAlignment="1">
      <alignment horizontal="center" vertical="center"/>
    </xf>
    <xf numFmtId="0" fontId="17" fillId="0" borderId="0" xfId="6" applyAlignment="1">
      <alignment wrapText="1"/>
    </xf>
    <xf numFmtId="0" fontId="4" fillId="0" borderId="2" xfId="6" applyFont="1" applyBorder="1" applyAlignment="1">
      <alignment horizontal="center" vertical="center"/>
    </xf>
    <xf numFmtId="0" fontId="17" fillId="0" borderId="2" xfId="6" applyBorder="1" applyAlignment="1">
      <alignment horizontal="center" vertical="center"/>
    </xf>
    <xf numFmtId="0" fontId="19" fillId="0" borderId="0" xfId="6" applyFont="1"/>
    <xf numFmtId="0" fontId="0" fillId="0" borderId="2" xfId="0" applyBorder="1"/>
    <xf numFmtId="0" fontId="0" fillId="6" borderId="2" xfId="0" applyFill="1" applyBorder="1" applyAlignment="1">
      <alignment vertical="top" wrapText="1"/>
    </xf>
    <xf numFmtId="168" fontId="0" fillId="6" borderId="2" xfId="0" applyNumberFormat="1" applyFill="1" applyBorder="1" applyAlignment="1">
      <alignment horizontal="right" vertical="top" wrapText="1"/>
    </xf>
    <xf numFmtId="2" fontId="17" fillId="0" borderId="2" xfId="6" applyNumberFormat="1" applyBorder="1"/>
    <xf numFmtId="0" fontId="17" fillId="0" borderId="2" xfId="6" applyBorder="1"/>
    <xf numFmtId="1" fontId="17" fillId="0" borderId="2" xfId="6" applyNumberFormat="1" applyBorder="1"/>
    <xf numFmtId="0" fontId="13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19" fillId="7" borderId="2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2" xfId="0" applyFont="1" applyBorder="1" applyAlignment="1" applyProtection="1">
      <alignment vertical="center"/>
      <protection hidden="1"/>
    </xf>
    <xf numFmtId="0" fontId="8" fillId="0" borderId="6" xfId="0" applyFont="1" applyBorder="1" applyAlignment="1" applyProtection="1">
      <alignment vertical="center" wrapText="1"/>
      <protection hidden="1"/>
    </xf>
    <xf numFmtId="0" fontId="17" fillId="0" borderId="2" xfId="6" applyBorder="1" applyAlignment="1">
      <alignment horizontal="center" vertical="center" wrapText="1"/>
    </xf>
    <xf numFmtId="0" fontId="4" fillId="5" borderId="2" xfId="6" applyFont="1" applyFill="1" applyBorder="1" applyAlignment="1">
      <alignment horizontal="center" vertical="center"/>
    </xf>
    <xf numFmtId="0" fontId="4" fillId="5" borderId="2" xfId="6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left" vertical="top" wrapText="1"/>
    </xf>
    <xf numFmtId="0" fontId="17" fillId="0" borderId="2" xfId="6" applyBorder="1" applyAlignment="1">
      <alignment wrapText="1"/>
    </xf>
    <xf numFmtId="0" fontId="17" fillId="0" borderId="2" xfId="6" applyBorder="1" applyAlignment="1">
      <alignment horizontal="center"/>
    </xf>
    <xf numFmtId="168" fontId="17" fillId="0" borderId="2" xfId="6" applyNumberFormat="1" applyBorder="1"/>
    <xf numFmtId="0" fontId="3" fillId="0" borderId="2" xfId="6" applyFont="1" applyBorder="1" applyAlignment="1">
      <alignment horizontal="center" vertical="center"/>
    </xf>
    <xf numFmtId="0" fontId="18" fillId="0" borderId="2" xfId="6" applyFont="1" applyBorder="1" applyAlignment="1">
      <alignment horizontal="center" vertical="center" wrapText="1"/>
    </xf>
    <xf numFmtId="0" fontId="18" fillId="0" borderId="2" xfId="6" applyFont="1" applyBorder="1" applyAlignment="1">
      <alignment horizontal="center" vertical="center"/>
    </xf>
    <xf numFmtId="3" fontId="0" fillId="0" borderId="2" xfId="0" applyNumberFormat="1" applyBorder="1" applyAlignment="1">
      <alignment horizontal="right"/>
    </xf>
    <xf numFmtId="0" fontId="17" fillId="2" borderId="2" xfId="6" applyFill="1" applyBorder="1" applyAlignment="1">
      <alignment horizontal="left" wrapText="1"/>
    </xf>
    <xf numFmtId="168" fontId="17" fillId="2" borderId="2" xfId="6" applyNumberFormat="1" applyFill="1" applyBorder="1"/>
    <xf numFmtId="0" fontId="17" fillId="0" borderId="6" xfId="6" applyBorder="1"/>
    <xf numFmtId="0" fontId="17" fillId="0" borderId="8" xfId="6" applyBorder="1"/>
    <xf numFmtId="0" fontId="0" fillId="0" borderId="2" xfId="6" applyFont="1" applyBorder="1" applyAlignment="1">
      <alignment wrapText="1"/>
    </xf>
    <xf numFmtId="0" fontId="17" fillId="2" borderId="0" xfId="6" applyFill="1" applyAlignment="1">
      <alignment wrapText="1"/>
    </xf>
    <xf numFmtId="0" fontId="17" fillId="2" borderId="0" xfId="6" applyFill="1" applyAlignment="1">
      <alignment horizontal="center" vertical="center"/>
    </xf>
    <xf numFmtId="0" fontId="17" fillId="2" borderId="0" xfId="6" applyFill="1"/>
    <xf numFmtId="0" fontId="17" fillId="3" borderId="0" xfId="6" applyFill="1" applyAlignment="1">
      <alignment wrapText="1"/>
    </xf>
    <xf numFmtId="0" fontId="17" fillId="3" borderId="0" xfId="6" applyFill="1" applyAlignment="1">
      <alignment horizontal="center" vertical="center"/>
    </xf>
    <xf numFmtId="0" fontId="17" fillId="3" borderId="0" xfId="6" applyFill="1"/>
    <xf numFmtId="168" fontId="17" fillId="0" borderId="2" xfId="6" applyNumberFormat="1" applyBorder="1" applyAlignment="1">
      <alignment horizontal="center"/>
    </xf>
    <xf numFmtId="0" fontId="4" fillId="8" borderId="2" xfId="6" applyFont="1" applyFill="1" applyBorder="1" applyAlignment="1">
      <alignment wrapText="1"/>
    </xf>
    <xf numFmtId="0" fontId="4" fillId="8" borderId="2" xfId="6" applyFont="1" applyFill="1" applyBorder="1" applyAlignment="1">
      <alignment horizontal="center" vertical="center"/>
    </xf>
    <xf numFmtId="0" fontId="4" fillId="8" borderId="2" xfId="6" applyFont="1" applyFill="1" applyBorder="1"/>
    <xf numFmtId="2" fontId="4" fillId="8" borderId="2" xfId="6" applyNumberFormat="1" applyFont="1" applyFill="1" applyBorder="1"/>
    <xf numFmtId="0" fontId="22" fillId="0" borderId="2" xfId="0" applyFont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3" xfId="0" applyFont="1" applyBorder="1" applyProtection="1">
      <protection hidden="1"/>
    </xf>
    <xf numFmtId="0" fontId="23" fillId="0" borderId="2" xfId="0" applyFont="1" applyBorder="1" applyAlignment="1" applyProtection="1">
      <alignment horizontal="left" vertical="center" wrapText="1"/>
      <protection hidden="1"/>
    </xf>
    <xf numFmtId="0" fontId="15" fillId="0" borderId="5" xfId="0" applyFont="1" applyBorder="1" applyAlignment="1" applyProtection="1">
      <alignment horizontal="center" wrapText="1"/>
      <protection hidden="1"/>
    </xf>
    <xf numFmtId="164" fontId="6" fillId="0" borderId="2" xfId="0" applyNumberFormat="1" applyFont="1" applyBorder="1" applyAlignment="1" applyProtection="1">
      <alignment horizontal="right"/>
      <protection hidden="1"/>
    </xf>
    <xf numFmtId="0" fontId="0" fillId="0" borderId="1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6" xfId="0" applyBorder="1" applyProtection="1">
      <protection hidden="1"/>
    </xf>
    <xf numFmtId="3" fontId="0" fillId="0" borderId="0" xfId="0" applyNumberForma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4" fillId="0" borderId="2" xfId="0" applyFont="1" applyBorder="1" applyProtection="1">
      <protection hidden="1"/>
    </xf>
    <xf numFmtId="0" fontId="0" fillId="0" borderId="22" xfId="0" applyBorder="1" applyProtection="1">
      <protection hidden="1"/>
    </xf>
    <xf numFmtId="0" fontId="0" fillId="0" borderId="15" xfId="0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5" fillId="0" borderId="2" xfId="0" applyFont="1" applyBorder="1" applyProtection="1">
      <protection hidden="1"/>
    </xf>
    <xf numFmtId="0" fontId="0" fillId="0" borderId="9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7" xfId="0" applyBorder="1" applyProtection="1">
      <protection hidden="1"/>
    </xf>
    <xf numFmtId="0" fontId="21" fillId="0" borderId="0" xfId="0" applyFont="1" applyProtection="1">
      <protection hidden="1"/>
    </xf>
    <xf numFmtId="0" fontId="21" fillId="0" borderId="5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17" fillId="0" borderId="2" xfId="6" applyBorder="1" applyAlignment="1">
      <alignment horizontal="center" wrapText="1"/>
    </xf>
    <xf numFmtId="0" fontId="0" fillId="0" borderId="0" xfId="0" applyAlignment="1" applyProtection="1">
      <alignment horizontal="center"/>
      <protection hidden="1"/>
    </xf>
    <xf numFmtId="0" fontId="20" fillId="6" borderId="24" xfId="0" applyFont="1" applyFill="1" applyBorder="1" applyAlignment="1">
      <alignment horizontal="left" vertical="center" wrapText="1"/>
    </xf>
    <xf numFmtId="0" fontId="17" fillId="0" borderId="24" xfId="6" applyBorder="1" applyAlignment="1">
      <alignment horizontal="left" vertical="center"/>
    </xf>
    <xf numFmtId="0" fontId="17" fillId="0" borderId="24" xfId="6" applyBorder="1" applyAlignment="1">
      <alignment horizontal="center" vertical="center"/>
    </xf>
    <xf numFmtId="0" fontId="17" fillId="0" borderId="0" xfId="6" applyAlignment="1">
      <alignment horizontal="center"/>
    </xf>
    <xf numFmtId="0" fontId="20" fillId="0" borderId="0" xfId="0" applyFont="1" applyAlignment="1" applyProtection="1">
      <alignment horizontal="center"/>
      <protection hidden="1"/>
    </xf>
    <xf numFmtId="0" fontId="3" fillId="0" borderId="6" xfId="6" applyFont="1" applyBorder="1" applyAlignment="1">
      <alignment horizontal="left" wrapText="1"/>
    </xf>
    <xf numFmtId="0" fontId="17" fillId="0" borderId="8" xfId="6" applyBorder="1" applyAlignment="1">
      <alignment horizontal="center" vertical="center"/>
    </xf>
    <xf numFmtId="0" fontId="3" fillId="0" borderId="8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/>
    </xf>
    <xf numFmtId="0" fontId="17" fillId="0" borderId="2" xfId="6" applyBorder="1" applyAlignment="1">
      <alignment horizontal="left" vertical="center"/>
    </xf>
    <xf numFmtId="0" fontId="0" fillId="0" borderId="2" xfId="6" applyFont="1" applyBorder="1" applyAlignment="1">
      <alignment horizontal="left" vertical="center" wrapText="1"/>
    </xf>
    <xf numFmtId="2" fontId="17" fillId="0" borderId="0" xfId="6" applyNumberFormat="1"/>
    <xf numFmtId="0" fontId="20" fillId="0" borderId="0" xfId="0" applyFont="1" applyProtection="1">
      <protection hidden="1"/>
    </xf>
    <xf numFmtId="0" fontId="24" fillId="0" borderId="2" xfId="0" applyFont="1" applyBorder="1" applyProtection="1">
      <protection hidden="1"/>
    </xf>
    <xf numFmtId="169" fontId="0" fillId="0" borderId="2" xfId="0" applyNumberFormat="1" applyBorder="1" applyProtection="1">
      <protection hidden="1"/>
    </xf>
    <xf numFmtId="165" fontId="6" fillId="0" borderId="2" xfId="0" applyNumberFormat="1" applyFont="1" applyBorder="1" applyAlignment="1" applyProtection="1">
      <alignment horizontal="right"/>
      <protection hidden="1"/>
    </xf>
    <xf numFmtId="10" fontId="0" fillId="0" borderId="2" xfId="0" applyNumberFormat="1" applyBorder="1"/>
    <xf numFmtId="1" fontId="0" fillId="0" borderId="2" xfId="0" applyNumberFormat="1" applyBorder="1"/>
    <xf numFmtId="0" fontId="20" fillId="6" borderId="2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1" fontId="0" fillId="0" borderId="0" xfId="0" applyNumberFormat="1"/>
    <xf numFmtId="1" fontId="19" fillId="0" borderId="0" xfId="6" applyNumberFormat="1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5" fillId="0" borderId="0" xfId="0" applyFont="1" applyProtection="1">
      <protection hidden="1"/>
    </xf>
    <xf numFmtId="170" fontId="0" fillId="0" borderId="0" xfId="0" applyNumberFormat="1" applyProtection="1">
      <protection hidden="1"/>
    </xf>
    <xf numFmtId="1" fontId="0" fillId="0" borderId="2" xfId="0" applyNumberFormat="1" applyBorder="1" applyAlignment="1" applyProtection="1">
      <alignment horizontal="center"/>
      <protection hidden="1"/>
    </xf>
    <xf numFmtId="1" fontId="17" fillId="2" borderId="2" xfId="6" applyNumberFormat="1" applyFill="1" applyBorder="1"/>
    <xf numFmtId="0" fontId="6" fillId="0" borderId="8" xfId="0" applyFont="1" applyBorder="1" applyAlignment="1" applyProtection="1">
      <alignment wrapText="1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3" fillId="0" borderId="4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170" fontId="6" fillId="0" borderId="0" xfId="0" applyNumberFormat="1" applyFont="1" applyProtection="1">
      <protection hidden="1"/>
    </xf>
    <xf numFmtId="0" fontId="3" fillId="0" borderId="24" xfId="6" applyFont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3" borderId="26" xfId="0" applyFill="1" applyBorder="1"/>
    <xf numFmtId="170" fontId="0" fillId="0" borderId="2" xfId="0" applyNumberFormat="1" applyBorder="1"/>
    <xf numFmtId="2" fontId="0" fillId="0" borderId="2" xfId="0" applyNumberFormat="1" applyBorder="1"/>
    <xf numFmtId="171" fontId="0" fillId="0" borderId="2" xfId="0" applyNumberFormat="1" applyBorder="1"/>
    <xf numFmtId="3" fontId="17" fillId="0" borderId="2" xfId="6" applyNumberFormat="1" applyBorder="1" applyAlignment="1">
      <alignment horizontal="left"/>
    </xf>
    <xf numFmtId="0" fontId="17" fillId="0" borderId="2" xfId="6" applyBorder="1" applyAlignment="1">
      <alignment horizontal="left"/>
    </xf>
    <xf numFmtId="0" fontId="17" fillId="0" borderId="27" xfId="6" applyBorder="1"/>
    <xf numFmtId="0" fontId="0" fillId="3" borderId="28" xfId="0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26" xfId="0" applyFont="1" applyFill="1" applyBorder="1"/>
    <xf numFmtId="0" fontId="0" fillId="0" borderId="29" xfId="0" applyBorder="1"/>
    <xf numFmtId="0" fontId="0" fillId="0" borderId="30" xfId="0" applyBorder="1"/>
    <xf numFmtId="0" fontId="4" fillId="7" borderId="21" xfId="0" applyFont="1" applyFill="1" applyBorder="1" applyAlignment="1">
      <alignment horizontal="center" vertical="center"/>
    </xf>
    <xf numFmtId="0" fontId="17" fillId="0" borderId="30" xfId="6" applyBorder="1"/>
    <xf numFmtId="0" fontId="0" fillId="0" borderId="30" xfId="0" applyBorder="1" applyAlignment="1">
      <alignment wrapText="1"/>
    </xf>
    <xf numFmtId="170" fontId="0" fillId="0" borderId="30" xfId="0" applyNumberFormat="1" applyBorder="1"/>
    <xf numFmtId="0" fontId="17" fillId="0" borderId="30" xfId="6" applyBorder="1" applyAlignment="1">
      <alignment horizontal="left"/>
    </xf>
    <xf numFmtId="0" fontId="28" fillId="0" borderId="0" xfId="0" applyFont="1" applyAlignment="1" applyProtection="1">
      <alignment horizontal="center" vertical="top"/>
      <protection hidden="1"/>
    </xf>
    <xf numFmtId="0" fontId="0" fillId="0" borderId="4" xfId="0" applyBorder="1"/>
    <xf numFmtId="1" fontId="0" fillId="0" borderId="4" xfId="0" applyNumberFormat="1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2" xfId="0" applyBorder="1"/>
    <xf numFmtId="1" fontId="0" fillId="0" borderId="32" xfId="0" applyNumberFormat="1" applyBorder="1"/>
    <xf numFmtId="2" fontId="0" fillId="0" borderId="32" xfId="0" applyNumberFormat="1" applyBorder="1"/>
    <xf numFmtId="9" fontId="0" fillId="0" borderId="32" xfId="0" applyNumberFormat="1" applyBorder="1"/>
    <xf numFmtId="0" fontId="0" fillId="0" borderId="33" xfId="0" applyBorder="1"/>
    <xf numFmtId="0" fontId="0" fillId="0" borderId="27" xfId="0" applyBorder="1"/>
    <xf numFmtId="1" fontId="0" fillId="0" borderId="27" xfId="0" applyNumberFormat="1" applyBorder="1"/>
    <xf numFmtId="0" fontId="0" fillId="0" borderId="28" xfId="0" applyBorder="1"/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/>
    <xf numFmtId="10" fontId="0" fillId="0" borderId="27" xfId="0" applyNumberFormat="1" applyBorder="1"/>
    <xf numFmtId="0" fontId="0" fillId="0" borderId="25" xfId="0" applyBorder="1" applyAlignment="1">
      <alignment horizontal="center"/>
    </xf>
    <xf numFmtId="0" fontId="0" fillId="0" borderId="2" xfId="6" applyFont="1" applyBorder="1"/>
    <xf numFmtId="0" fontId="0" fillId="0" borderId="35" xfId="0" applyBorder="1"/>
    <xf numFmtId="0" fontId="17" fillId="0" borderId="35" xfId="6" applyBorder="1"/>
    <xf numFmtId="0" fontId="17" fillId="0" borderId="35" xfId="6" applyBorder="1" applyAlignment="1">
      <alignment horizontal="left"/>
    </xf>
    <xf numFmtId="0" fontId="4" fillId="3" borderId="29" xfId="0" applyFont="1" applyFill="1" applyBorder="1"/>
    <xf numFmtId="2" fontId="0" fillId="0" borderId="30" xfId="0" applyNumberFormat="1" applyBorder="1"/>
    <xf numFmtId="2" fontId="17" fillId="0" borderId="30" xfId="6" applyNumberFormat="1" applyBorder="1"/>
    <xf numFmtId="0" fontId="17" fillId="0" borderId="36" xfId="6" applyBorder="1"/>
    <xf numFmtId="0" fontId="4" fillId="3" borderId="29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0" fillId="3" borderId="30" xfId="0" applyFill="1" applyBorder="1"/>
    <xf numFmtId="0" fontId="4" fillId="7" borderId="31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/>
      <protection hidden="1"/>
    </xf>
    <xf numFmtId="0" fontId="22" fillId="0" borderId="2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2" fontId="0" fillId="0" borderId="0" xfId="0" applyNumberFormat="1"/>
    <xf numFmtId="9" fontId="0" fillId="0" borderId="0" xfId="0" applyNumberFormat="1"/>
    <xf numFmtId="0" fontId="30" fillId="0" borderId="0" xfId="0" applyFont="1" applyAlignment="1">
      <alignment horizontal="center" textRotation="90"/>
    </xf>
    <xf numFmtId="166" fontId="6" fillId="0" borderId="1" xfId="0" applyNumberFormat="1" applyFont="1" applyBorder="1" applyAlignment="1" applyProtection="1">
      <alignment vertical="center"/>
      <protection hidden="1"/>
    </xf>
    <xf numFmtId="166" fontId="31" fillId="0" borderId="39" xfId="0" applyNumberFormat="1" applyFont="1" applyBorder="1" applyAlignment="1" applyProtection="1">
      <alignment horizontal="center" vertical="center"/>
      <protection locked="0"/>
    </xf>
    <xf numFmtId="0" fontId="5" fillId="11" borderId="2" xfId="0" applyFont="1" applyFill="1" applyBorder="1" applyAlignment="1" applyProtection="1">
      <alignment horizontal="center"/>
      <protection locked="0" hidden="1"/>
    </xf>
    <xf numFmtId="0" fontId="5" fillId="11" borderId="2" xfId="0" applyFont="1" applyFill="1" applyBorder="1" applyAlignment="1" applyProtection="1">
      <alignment horizontal="center" vertical="center"/>
      <protection locked="0" hidden="1"/>
    </xf>
    <xf numFmtId="0" fontId="0" fillId="11" borderId="2" xfId="0" applyFill="1" applyBorder="1" applyAlignment="1" applyProtection="1">
      <alignment horizontal="center"/>
      <protection locked="0"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0" fillId="12" borderId="6" xfId="0" applyFill="1" applyBorder="1" applyAlignment="1" applyProtection="1">
      <alignment horizontal="center"/>
      <protection locked="0" hidden="1"/>
    </xf>
    <xf numFmtId="0" fontId="0" fillId="12" borderId="8" xfId="0" applyFill="1" applyBorder="1" applyAlignment="1" applyProtection="1">
      <alignment horizontal="center"/>
      <protection locked="0" hidden="1"/>
    </xf>
    <xf numFmtId="0" fontId="0" fillId="12" borderId="10" xfId="0" applyFill="1" applyBorder="1" applyAlignment="1" applyProtection="1">
      <alignment horizontal="center"/>
      <protection locked="0" hidden="1"/>
    </xf>
    <xf numFmtId="0" fontId="8" fillId="12" borderId="6" xfId="0" applyFont="1" applyFill="1" applyBorder="1" applyAlignment="1" applyProtection="1">
      <alignment horizontal="center"/>
      <protection locked="0" hidden="1"/>
    </xf>
    <xf numFmtId="0" fontId="8" fillId="12" borderId="8" xfId="0" applyFont="1" applyFill="1" applyBorder="1" applyAlignment="1" applyProtection="1">
      <alignment horizontal="center"/>
      <protection locked="0" hidden="1"/>
    </xf>
    <xf numFmtId="0" fontId="8" fillId="12" borderId="10" xfId="0" applyFont="1" applyFill="1" applyBorder="1" applyAlignment="1" applyProtection="1">
      <alignment horizontal="center"/>
      <protection locked="0" hidden="1"/>
    </xf>
    <xf numFmtId="0" fontId="8" fillId="12" borderId="6" xfId="0" applyFont="1" applyFill="1" applyBorder="1" applyAlignment="1" applyProtection="1">
      <alignment horizontal="center" vertical="center" wrapText="1"/>
      <protection locked="0" hidden="1"/>
    </xf>
    <xf numFmtId="0" fontId="8" fillId="12" borderId="8" xfId="0" applyFont="1" applyFill="1" applyBorder="1" applyAlignment="1" applyProtection="1">
      <alignment horizontal="center" vertical="center" wrapText="1"/>
      <protection locked="0" hidden="1"/>
    </xf>
    <xf numFmtId="0" fontId="8" fillId="12" borderId="10" xfId="0" applyFont="1" applyFill="1" applyBorder="1" applyAlignment="1" applyProtection="1">
      <alignment horizontal="center" vertical="center" wrapText="1"/>
      <protection locked="0" hidden="1"/>
    </xf>
    <xf numFmtId="0" fontId="13" fillId="0" borderId="5" xfId="0" applyFont="1" applyBorder="1" applyAlignment="1" applyProtection="1">
      <alignment horizontal="left" wrapText="1"/>
      <protection hidden="1"/>
    </xf>
    <xf numFmtId="0" fontId="26" fillId="0" borderId="0" xfId="0" applyFont="1"/>
    <xf numFmtId="5" fontId="6" fillId="0" borderId="2" xfId="0" applyNumberFormat="1" applyFont="1" applyBorder="1" applyProtection="1">
      <protection hidden="1"/>
    </xf>
    <xf numFmtId="0" fontId="0" fillId="0" borderId="23" xfId="0" applyBorder="1"/>
    <xf numFmtId="0" fontId="4" fillId="3" borderId="23" xfId="0" applyFont="1" applyFill="1" applyBorder="1"/>
    <xf numFmtId="0" fontId="4" fillId="3" borderId="2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0" fillId="12" borderId="2" xfId="0" applyFill="1" applyBorder="1" applyAlignment="1" applyProtection="1">
      <alignment horizontal="center"/>
      <protection locked="0"/>
    </xf>
    <xf numFmtId="0" fontId="0" fillId="0" borderId="12" xfId="0" applyBorder="1" applyProtection="1">
      <protection hidden="1"/>
    </xf>
    <xf numFmtId="0" fontId="6" fillId="3" borderId="40" xfId="0" applyFont="1" applyFill="1" applyBorder="1" applyProtection="1">
      <protection hidden="1"/>
    </xf>
    <xf numFmtId="0" fontId="6" fillId="3" borderId="41" xfId="0" applyFont="1" applyFill="1" applyBorder="1" applyProtection="1">
      <protection hidden="1"/>
    </xf>
    <xf numFmtId="166" fontId="6" fillId="0" borderId="13" xfId="0" applyNumberFormat="1" applyFont="1" applyBorder="1" applyProtection="1">
      <protection hidden="1"/>
    </xf>
    <xf numFmtId="0" fontId="0" fillId="0" borderId="13" xfId="0" applyBorder="1"/>
    <xf numFmtId="166" fontId="6" fillId="0" borderId="13" xfId="0" applyNumberFormat="1" applyFont="1" applyBorder="1" applyAlignment="1" applyProtection="1">
      <alignment vertical="center"/>
      <protection hidden="1"/>
    </xf>
    <xf numFmtId="0" fontId="0" fillId="0" borderId="18" xfId="0" applyBorder="1"/>
    <xf numFmtId="0" fontId="0" fillId="0" borderId="16" xfId="0" applyBorder="1"/>
    <xf numFmtId="0" fontId="29" fillId="0" borderId="0" xfId="0" applyFont="1"/>
    <xf numFmtId="0" fontId="29" fillId="0" borderId="16" xfId="0" applyFont="1" applyBorder="1"/>
    <xf numFmtId="1" fontId="29" fillId="0" borderId="0" xfId="0" applyNumberFormat="1" applyFont="1"/>
    <xf numFmtId="0" fontId="0" fillId="0" borderId="20" xfId="0" applyBorder="1"/>
    <xf numFmtId="0" fontId="0" fillId="0" borderId="17" xfId="0" applyBorder="1"/>
    <xf numFmtId="0" fontId="6" fillId="0" borderId="38" xfId="0" applyFont="1" applyBorder="1" applyAlignment="1" applyProtection="1">
      <alignment wrapText="1"/>
      <protection hidden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33" fillId="0" borderId="2" xfId="2" applyFont="1" applyBorder="1"/>
    <xf numFmtId="1" fontId="17" fillId="0" borderId="0" xfId="6" applyNumberFormat="1"/>
    <xf numFmtId="168" fontId="0" fillId="6" borderId="2" xfId="0" applyNumberFormat="1" applyFill="1" applyBorder="1" applyAlignment="1">
      <alignment horizontal="center" vertical="top" wrapText="1"/>
    </xf>
    <xf numFmtId="0" fontId="0" fillId="11" borderId="0" xfId="0" applyFill="1" applyAlignment="1" applyProtection="1">
      <alignment horizontal="center" vertical="center"/>
      <protection locked="0" hidden="1"/>
    </xf>
    <xf numFmtId="0" fontId="0" fillId="6" borderId="2" xfId="0" applyFill="1" applyBorder="1" applyAlignment="1">
      <alignment horizontal="center" vertical="top" wrapText="1"/>
    </xf>
    <xf numFmtId="2" fontId="3" fillId="0" borderId="2" xfId="6" applyNumberFormat="1" applyFont="1" applyBorder="1" applyAlignment="1">
      <alignment horizontal="center" vertical="center"/>
    </xf>
    <xf numFmtId="2" fontId="19" fillId="0" borderId="0" xfId="6" applyNumberFormat="1" applyFont="1"/>
    <xf numFmtId="0" fontId="0" fillId="3" borderId="35" xfId="0" applyFill="1" applyBorder="1"/>
    <xf numFmtId="0" fontId="26" fillId="0" borderId="16" xfId="0" applyFont="1" applyBorder="1"/>
    <xf numFmtId="1" fontId="26" fillId="0" borderId="0" xfId="0" applyNumberFormat="1" applyFont="1"/>
    <xf numFmtId="1" fontId="26" fillId="0" borderId="16" xfId="0" applyNumberFormat="1" applyFont="1" applyBorder="1"/>
    <xf numFmtId="0" fontId="26" fillId="0" borderId="17" xfId="0" applyFont="1" applyBorder="1"/>
    <xf numFmtId="0" fontId="26" fillId="0" borderId="22" xfId="0" applyFont="1" applyBorder="1"/>
    <xf numFmtId="2" fontId="29" fillId="0" borderId="0" xfId="0" applyNumberFormat="1" applyFont="1"/>
    <xf numFmtId="170" fontId="0" fillId="0" borderId="25" xfId="0" applyNumberFormat="1" applyBorder="1"/>
    <xf numFmtId="0" fontId="0" fillId="3" borderId="2" xfId="0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26" fillId="3" borderId="0" xfId="0" applyFont="1" applyFill="1"/>
    <xf numFmtId="0" fontId="34" fillId="0" borderId="0" xfId="7"/>
    <xf numFmtId="0" fontId="17" fillId="0" borderId="0" xfId="6" applyAlignment="1">
      <alignment horizontal="right"/>
    </xf>
    <xf numFmtId="0" fontId="17" fillId="0" borderId="0" xfId="6" applyAlignment="1">
      <alignment horizontal="left"/>
    </xf>
    <xf numFmtId="0" fontId="17" fillId="0" borderId="0" xfId="6" applyAlignment="1">
      <alignment horizontal="left" vertical="center"/>
    </xf>
    <xf numFmtId="0" fontId="4" fillId="9" borderId="8" xfId="0" applyFont="1" applyFill="1" applyBorder="1"/>
    <xf numFmtId="1" fontId="17" fillId="0" borderId="0" xfId="6" applyNumberFormat="1" applyAlignment="1">
      <alignment horizontal="left"/>
    </xf>
    <xf numFmtId="1" fontId="17" fillId="0" borderId="0" xfId="6" applyNumberFormat="1" applyAlignment="1">
      <alignment horizontal="left" vertical="center"/>
    </xf>
    <xf numFmtId="1" fontId="6" fillId="12" borderId="2" xfId="0" applyNumberFormat="1" applyFont="1" applyFill="1" applyBorder="1" applyAlignment="1" applyProtection="1">
      <alignment horizontal="center"/>
      <protection locked="0" hidden="1"/>
    </xf>
    <xf numFmtId="1" fontId="0" fillId="0" borderId="8" xfId="0" applyNumberFormat="1" applyBorder="1"/>
    <xf numFmtId="0" fontId="0" fillId="0" borderId="2" xfId="0" applyBorder="1" applyAlignment="1">
      <alignment horizontal="left" vertical="top"/>
    </xf>
    <xf numFmtId="44" fontId="17" fillId="0" borderId="0" xfId="6" applyNumberFormat="1"/>
    <xf numFmtId="1" fontId="19" fillId="0" borderId="0" xfId="6" applyNumberFormat="1" applyFont="1" applyAlignment="1">
      <alignment horizontal="right"/>
    </xf>
    <xf numFmtId="1" fontId="17" fillId="0" borderId="0" xfId="6" applyNumberFormat="1" applyAlignment="1">
      <alignment horizontal="right" vertical="center"/>
    </xf>
    <xf numFmtId="44" fontId="17" fillId="0" borderId="0" xfId="8" applyFont="1" applyBorder="1" applyAlignment="1">
      <alignment horizontal="right"/>
    </xf>
    <xf numFmtId="1" fontId="17" fillId="0" borderId="0" xfId="6" applyNumberFormat="1" applyAlignment="1">
      <alignment horizontal="right"/>
    </xf>
    <xf numFmtId="172" fontId="19" fillId="0" borderId="0" xfId="6" applyNumberFormat="1" applyFont="1" applyAlignment="1">
      <alignment horizontal="right"/>
    </xf>
    <xf numFmtId="173" fontId="17" fillId="0" borderId="0" xfId="6" applyNumberFormat="1" applyAlignment="1">
      <alignment horizontal="right"/>
    </xf>
    <xf numFmtId="44" fontId="4" fillId="0" borderId="44" xfId="10" applyNumberFormat="1"/>
    <xf numFmtId="0" fontId="35" fillId="0" borderId="43" xfId="9" applyFill="1" applyProtection="1">
      <protection hidden="1"/>
    </xf>
    <xf numFmtId="0" fontId="35" fillId="0" borderId="43" xfId="9" applyAlignment="1">
      <alignment horizontal="right"/>
    </xf>
    <xf numFmtId="0" fontId="34" fillId="0" borderId="2" xfId="7" applyBorder="1" applyAlignment="1">
      <alignment horizontal="center" vertical="center"/>
    </xf>
    <xf numFmtId="0" fontId="34" fillId="0" borderId="2" xfId="7" applyFill="1" applyBorder="1" applyProtection="1">
      <protection hidden="1"/>
    </xf>
    <xf numFmtId="0" fontId="34" fillId="0" borderId="2" xfId="7" applyBorder="1" applyAlignment="1">
      <alignment horizontal="left" vertical="center"/>
    </xf>
    <xf numFmtId="2" fontId="34" fillId="0" borderId="2" xfId="7" applyNumberFormat="1" applyBorder="1"/>
    <xf numFmtId="170" fontId="34" fillId="0" borderId="2" xfId="7" applyNumberFormat="1" applyFill="1" applyBorder="1" applyProtection="1">
      <protection hidden="1"/>
    </xf>
    <xf numFmtId="44" fontId="17" fillId="0" borderId="2" xfId="8" applyFont="1" applyBorder="1"/>
    <xf numFmtId="170" fontId="6" fillId="0" borderId="2" xfId="0" applyNumberFormat="1" applyFont="1" applyBorder="1" applyProtection="1">
      <protection hidden="1"/>
    </xf>
    <xf numFmtId="1" fontId="19" fillId="0" borderId="2" xfId="6" applyNumberFormat="1" applyFont="1" applyBorder="1"/>
    <xf numFmtId="0" fontId="17" fillId="0" borderId="3" xfId="6" applyBorder="1"/>
    <xf numFmtId="170" fontId="6" fillId="0" borderId="45" xfId="0" applyNumberFormat="1" applyFont="1" applyBorder="1" applyProtection="1">
      <protection hidden="1"/>
    </xf>
    <xf numFmtId="1" fontId="19" fillId="0" borderId="17" xfId="6" applyNumberFormat="1" applyFont="1" applyBorder="1"/>
    <xf numFmtId="0" fontId="17" fillId="0" borderId="17" xfId="6" applyBorder="1"/>
    <xf numFmtId="1" fontId="19" fillId="0" borderId="8" xfId="6" applyNumberFormat="1" applyFont="1" applyBorder="1"/>
    <xf numFmtId="2" fontId="17" fillId="0" borderId="8" xfId="6" applyNumberFormat="1" applyBorder="1"/>
    <xf numFmtId="170" fontId="4" fillId="0" borderId="44" xfId="10" applyNumberFormat="1" applyFill="1" applyProtection="1">
      <protection hidden="1"/>
    </xf>
    <xf numFmtId="0" fontId="36" fillId="0" borderId="0" xfId="0" applyFont="1" applyProtection="1">
      <protection hidden="1"/>
    </xf>
    <xf numFmtId="9" fontId="0" fillId="0" borderId="2" xfId="0" applyNumberFormat="1" applyBorder="1"/>
    <xf numFmtId="2" fontId="0" fillId="0" borderId="4" xfId="0" applyNumberFormat="1" applyBorder="1"/>
    <xf numFmtId="9" fontId="0" fillId="0" borderId="4" xfId="0" applyNumberFormat="1" applyBorder="1"/>
    <xf numFmtId="0" fontId="0" fillId="0" borderId="47" xfId="0" applyBorder="1"/>
    <xf numFmtId="1" fontId="29" fillId="0" borderId="0" xfId="0" applyNumberFormat="1" applyFont="1" applyAlignment="1">
      <alignment horizontal="left"/>
    </xf>
    <xf numFmtId="1" fontId="17" fillId="0" borderId="30" xfId="6" applyNumberFormat="1" applyBorder="1"/>
    <xf numFmtId="1" fontId="17" fillId="0" borderId="8" xfId="6" applyNumberFormat="1" applyBorder="1"/>
    <xf numFmtId="1" fontId="17" fillId="0" borderId="1" xfId="6" applyNumberFormat="1" applyBorder="1"/>
    <xf numFmtId="0" fontId="0" fillId="3" borderId="2" xfId="0" applyFill="1" applyBorder="1"/>
    <xf numFmtId="0" fontId="17" fillId="3" borderId="2" xfId="6" applyFill="1" applyBorder="1"/>
    <xf numFmtId="0" fontId="21" fillId="0" borderId="9" xfId="0" applyFont="1" applyBorder="1" applyAlignment="1" applyProtection="1">
      <alignment horizontal="center" wrapText="1"/>
      <protection hidden="1"/>
    </xf>
    <xf numFmtId="0" fontId="21" fillId="0" borderId="19" xfId="0" applyFont="1" applyBorder="1" applyAlignment="1" applyProtection="1">
      <alignment wrapText="1"/>
      <protection hidden="1"/>
    </xf>
    <xf numFmtId="0" fontId="5" fillId="11" borderId="2" xfId="0" applyFont="1" applyFill="1" applyBorder="1" applyAlignment="1" applyProtection="1">
      <alignment horizontal="center" vertical="center" wrapText="1"/>
      <protection locked="0" hidden="1"/>
    </xf>
    <xf numFmtId="0" fontId="5" fillId="11" borderId="6" xfId="0" applyFont="1" applyFill="1" applyBorder="1" applyAlignment="1" applyProtection="1">
      <alignment horizontal="center" vertical="center"/>
      <protection locked="0" hidden="1"/>
    </xf>
    <xf numFmtId="0" fontId="0" fillId="0" borderId="8" xfId="0" applyBorder="1"/>
    <xf numFmtId="0" fontId="0" fillId="0" borderId="8" xfId="0" applyBorder="1" applyAlignment="1">
      <alignment horizontal="left"/>
    </xf>
    <xf numFmtId="0" fontId="37" fillId="0" borderId="0" xfId="7" applyFont="1"/>
    <xf numFmtId="0" fontId="6" fillId="0" borderId="2" xfId="0" applyFont="1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alignment horizontal="center"/>
      <protection hidden="1"/>
    </xf>
    <xf numFmtId="169" fontId="0" fillId="0" borderId="2" xfId="0" applyNumberFormat="1" applyBorder="1" applyAlignment="1" applyProtection="1">
      <alignment horizontal="center" vertical="center"/>
      <protection hidden="1"/>
    </xf>
    <xf numFmtId="1" fontId="0" fillId="0" borderId="2" xfId="0" applyNumberFormat="1" applyBorder="1" applyAlignment="1">
      <alignment horizontal="right"/>
    </xf>
    <xf numFmtId="1" fontId="0" fillId="0" borderId="27" xfId="0" applyNumberFormat="1" applyBorder="1" applyAlignment="1">
      <alignment horizontal="right"/>
    </xf>
    <xf numFmtId="0" fontId="26" fillId="3" borderId="2" xfId="0" applyFont="1" applyFill="1" applyBorder="1" applyAlignment="1">
      <alignment horizontal="center"/>
    </xf>
    <xf numFmtId="1" fontId="26" fillId="3" borderId="0" xfId="0" applyNumberFormat="1" applyFont="1" applyFill="1"/>
    <xf numFmtId="0" fontId="38" fillId="9" borderId="8" xfId="0" applyFont="1" applyFill="1" applyBorder="1"/>
    <xf numFmtId="1" fontId="26" fillId="3" borderId="2" xfId="0" applyNumberFormat="1" applyFont="1" applyFill="1" applyBorder="1"/>
    <xf numFmtId="10" fontId="26" fillId="3" borderId="0" xfId="0" applyNumberFormat="1" applyFont="1" applyFill="1"/>
    <xf numFmtId="1" fontId="26" fillId="3" borderId="8" xfId="0" applyNumberFormat="1" applyFont="1" applyFill="1" applyBorder="1"/>
    <xf numFmtId="1" fontId="26" fillId="3" borderId="2" xfId="0" applyNumberFormat="1" applyFont="1" applyFill="1" applyBorder="1" applyAlignment="1">
      <alignment horizontal="right" vertical="top" wrapText="1"/>
    </xf>
    <xf numFmtId="1" fontId="26" fillId="0" borderId="8" xfId="0" applyNumberFormat="1" applyFont="1" applyBorder="1"/>
    <xf numFmtId="2" fontId="26" fillId="3" borderId="8" xfId="0" applyNumberFormat="1" applyFont="1" applyFill="1" applyBorder="1"/>
    <xf numFmtId="2" fontId="26" fillId="3" borderId="2" xfId="0" applyNumberFormat="1" applyFont="1" applyFill="1" applyBorder="1"/>
    <xf numFmtId="14" fontId="0" fillId="0" borderId="0" xfId="0" applyNumberFormat="1"/>
    <xf numFmtId="0" fontId="31" fillId="0" borderId="13" xfId="0" applyFont="1" applyBorder="1" applyAlignment="1" applyProtection="1">
      <alignment horizontal="center"/>
      <protection hidden="1"/>
    </xf>
    <xf numFmtId="0" fontId="0" fillId="0" borderId="0" xfId="0" applyAlignment="1">
      <alignment wrapText="1"/>
    </xf>
    <xf numFmtId="0" fontId="0" fillId="14" borderId="2" xfId="0" applyFill="1" applyBorder="1"/>
    <xf numFmtId="0" fontId="17" fillId="14" borderId="2" xfId="6" applyFill="1" applyBorder="1"/>
    <xf numFmtId="0" fontId="0" fillId="14" borderId="2" xfId="0" applyFill="1" applyBorder="1" applyAlignment="1">
      <alignment horizontal="center"/>
    </xf>
    <xf numFmtId="1" fontId="26" fillId="14" borderId="2" xfId="0" applyNumberFormat="1" applyFont="1" applyFill="1" applyBorder="1"/>
    <xf numFmtId="1" fontId="26" fillId="14" borderId="8" xfId="0" applyNumberFormat="1" applyFont="1" applyFill="1" applyBorder="1"/>
    <xf numFmtId="0" fontId="39" fillId="7" borderId="23" xfId="0" applyFont="1" applyFill="1" applyBorder="1" applyAlignment="1">
      <alignment horizontal="center" vertical="center"/>
    </xf>
    <xf numFmtId="171" fontId="39" fillId="7" borderId="23" xfId="0" applyNumberFormat="1" applyFont="1" applyFill="1" applyBorder="1" applyAlignment="1">
      <alignment horizontal="center" vertical="center" wrapText="1"/>
    </xf>
    <xf numFmtId="0" fontId="39" fillId="7" borderId="23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center" vertical="center"/>
    </xf>
    <xf numFmtId="0" fontId="2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16" borderId="2" xfId="0" applyFill="1" applyBorder="1" applyAlignment="1">
      <alignment horizontal="left" vertical="top" wrapText="1"/>
    </xf>
    <xf numFmtId="0" fontId="3" fillId="0" borderId="8" xfId="6" applyFont="1" applyBorder="1" applyAlignment="1">
      <alignment horizontal="center" vertical="center" wrapText="1"/>
    </xf>
    <xf numFmtId="0" fontId="3" fillId="0" borderId="10" xfId="6" applyFont="1" applyBorder="1" applyAlignment="1">
      <alignment horizontal="center" vertical="center" wrapText="1"/>
    </xf>
    <xf numFmtId="173" fontId="17" fillId="0" borderId="0" xfId="6" applyNumberFormat="1"/>
    <xf numFmtId="0" fontId="0" fillId="0" borderId="6" xfId="6" applyFont="1" applyBorder="1" applyAlignment="1">
      <alignment horizontal="left" vertical="center" wrapText="1"/>
    </xf>
    <xf numFmtId="0" fontId="0" fillId="0" borderId="4" xfId="6" applyFont="1" applyBorder="1" applyAlignment="1">
      <alignment horizontal="center" vertical="center"/>
    </xf>
    <xf numFmtId="173" fontId="17" fillId="0" borderId="2" xfId="6" applyNumberFormat="1" applyBorder="1"/>
    <xf numFmtId="0" fontId="21" fillId="0" borderId="0" xfId="0" applyFont="1" applyAlignment="1">
      <alignment vertical="center"/>
    </xf>
    <xf numFmtId="168" fontId="17" fillId="0" borderId="8" xfId="6" applyNumberFormat="1" applyBorder="1"/>
    <xf numFmtId="0" fontId="5" fillId="12" borderId="2" xfId="0" applyFont="1" applyFill="1" applyBorder="1" applyAlignment="1" applyProtection="1">
      <alignment horizontal="center" vertical="center"/>
      <protection locked="0" hidden="1"/>
    </xf>
    <xf numFmtId="0" fontId="5" fillId="12" borderId="4" xfId="0" applyFont="1" applyFill="1" applyBorder="1" applyAlignment="1" applyProtection="1">
      <alignment horizontal="center" vertical="center"/>
      <protection locked="0" hidden="1"/>
    </xf>
    <xf numFmtId="0" fontId="5" fillId="12" borderId="2" xfId="0" applyFont="1" applyFill="1" applyBorder="1" applyAlignment="1" applyProtection="1">
      <alignment vertical="center"/>
      <protection locked="0" hidden="1"/>
    </xf>
    <xf numFmtId="0" fontId="0" fillId="12" borderId="2" xfId="0" applyFill="1" applyBorder="1" applyAlignment="1" applyProtection="1">
      <alignment horizontal="center" vertical="center"/>
      <protection locked="0" hidden="1"/>
    </xf>
    <xf numFmtId="0" fontId="42" fillId="0" borderId="0" xfId="11" applyFont="1" applyAlignment="1">
      <alignment horizontal="center" vertical="center"/>
    </xf>
    <xf numFmtId="0" fontId="43" fillId="0" borderId="19" xfId="0" applyFont="1" applyBorder="1"/>
    <xf numFmtId="1" fontId="43" fillId="0" borderId="19" xfId="0" applyNumberFormat="1" applyFont="1" applyBorder="1"/>
    <xf numFmtId="2" fontId="43" fillId="0" borderId="19" xfId="0" applyNumberFormat="1" applyFont="1" applyBorder="1"/>
    <xf numFmtId="0" fontId="43" fillId="0" borderId="8" xfId="0" applyFont="1" applyBorder="1"/>
    <xf numFmtId="1" fontId="43" fillId="0" borderId="8" xfId="0" applyNumberFormat="1" applyFont="1" applyBorder="1"/>
    <xf numFmtId="2" fontId="43" fillId="0" borderId="8" xfId="0" applyNumberFormat="1" applyFont="1" applyBorder="1"/>
    <xf numFmtId="0" fontId="43" fillId="0" borderId="38" xfId="0" applyFont="1" applyBorder="1"/>
    <xf numFmtId="1" fontId="43" fillId="0" borderId="38" xfId="0" applyNumberFormat="1" applyFont="1" applyBorder="1"/>
    <xf numFmtId="2" fontId="43" fillId="0" borderId="38" xfId="0" applyNumberFormat="1" applyFont="1" applyBorder="1"/>
    <xf numFmtId="0" fontId="43" fillId="0" borderId="1" xfId="0" applyFont="1" applyBorder="1"/>
    <xf numFmtId="1" fontId="43" fillId="0" borderId="1" xfId="0" applyNumberFormat="1" applyFont="1" applyBorder="1"/>
    <xf numFmtId="2" fontId="43" fillId="0" borderId="1" xfId="0" applyNumberFormat="1" applyFont="1" applyBorder="1"/>
    <xf numFmtId="0" fontId="6" fillId="12" borderId="2" xfId="0" applyFont="1" applyFill="1" applyBorder="1" applyAlignment="1" applyProtection="1">
      <alignment horizontal="center"/>
      <protection locked="0" hidden="1"/>
    </xf>
    <xf numFmtId="0" fontId="0" fillId="0" borderId="8" xfId="0" applyBorder="1" applyAlignment="1">
      <alignment wrapText="1"/>
    </xf>
    <xf numFmtId="166" fontId="6" fillId="0" borderId="0" xfId="0" applyNumberFormat="1" applyFont="1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31" fillId="0" borderId="1" xfId="0" applyFont="1" applyBorder="1" applyAlignment="1" applyProtection="1">
      <alignment horizontal="center"/>
      <protection hidden="1"/>
    </xf>
    <xf numFmtId="44" fontId="6" fillId="0" borderId="0" xfId="0" applyNumberFormat="1" applyFont="1" applyProtection="1">
      <protection hidden="1"/>
    </xf>
    <xf numFmtId="1" fontId="17" fillId="0" borderId="30" xfId="6" applyNumberFormat="1" applyBorder="1" applyAlignment="1">
      <alignment horizontal="left"/>
    </xf>
    <xf numFmtId="0" fontId="44" fillId="0" borderId="0" xfId="11" applyFont="1"/>
    <xf numFmtId="0" fontId="45" fillId="7" borderId="23" xfId="0" applyFont="1" applyFill="1" applyBorder="1" applyAlignment="1">
      <alignment horizontal="center" vertical="center"/>
    </xf>
    <xf numFmtId="171" fontId="45" fillId="7" borderId="23" xfId="0" applyNumberFormat="1" applyFont="1" applyFill="1" applyBorder="1" applyAlignment="1">
      <alignment horizontal="center" vertical="center" wrapText="1"/>
    </xf>
    <xf numFmtId="0" fontId="46" fillId="7" borderId="23" xfId="0" applyFont="1" applyFill="1" applyBorder="1" applyAlignment="1">
      <alignment horizontal="center" vertical="center" wrapText="1"/>
    </xf>
    <xf numFmtId="0" fontId="45" fillId="7" borderId="23" xfId="0" applyFont="1" applyFill="1" applyBorder="1" applyAlignment="1">
      <alignment horizontal="center" vertical="center" wrapText="1"/>
    </xf>
    <xf numFmtId="0" fontId="45" fillId="7" borderId="48" xfId="0" applyFont="1" applyFill="1" applyBorder="1" applyAlignment="1">
      <alignment horizontal="center" vertical="center"/>
    </xf>
    <xf numFmtId="0" fontId="45" fillId="7" borderId="35" xfId="0" applyFont="1" applyFill="1" applyBorder="1" applyAlignment="1">
      <alignment horizontal="center" vertical="center"/>
    </xf>
    <xf numFmtId="0" fontId="45" fillId="7" borderId="36" xfId="0" applyFont="1" applyFill="1" applyBorder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3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43" fillId="0" borderId="0" xfId="0" applyFont="1"/>
    <xf numFmtId="1" fontId="43" fillId="0" borderId="0" xfId="0" applyNumberFormat="1" applyFont="1"/>
    <xf numFmtId="0" fontId="43" fillId="0" borderId="17" xfId="0" applyFont="1" applyBorder="1"/>
    <xf numFmtId="0" fontId="34" fillId="0" borderId="0" xfId="7" applyProtection="1">
      <protection hidden="1"/>
    </xf>
    <xf numFmtId="0" fontId="48" fillId="0" borderId="0" xfId="0" applyFont="1" applyProtection="1">
      <protection hidden="1"/>
    </xf>
    <xf numFmtId="0" fontId="6" fillId="0" borderId="12" xfId="0" applyFont="1" applyBorder="1"/>
    <xf numFmtId="0" fontId="6" fillId="0" borderId="13" xfId="0" applyFont="1" applyBorder="1"/>
    <xf numFmtId="0" fontId="6" fillId="0" borderId="41" xfId="0" applyFont="1" applyBorder="1"/>
    <xf numFmtId="0" fontId="6" fillId="0" borderId="40" xfId="0" applyFont="1" applyBorder="1"/>
    <xf numFmtId="0" fontId="49" fillId="0" borderId="13" xfId="0" applyFont="1" applyBorder="1" applyAlignment="1">
      <alignment vertical="center" wrapText="1"/>
    </xf>
    <xf numFmtId="0" fontId="51" fillId="0" borderId="13" xfId="0" applyFont="1" applyBorder="1"/>
    <xf numFmtId="0" fontId="52" fillId="3" borderId="13" xfId="0" applyFont="1" applyFill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/>
    </xf>
    <xf numFmtId="0" fontId="31" fillId="3" borderId="39" xfId="0" applyFont="1" applyFill="1" applyBorder="1" applyAlignment="1" applyProtection="1">
      <alignment horizontal="center" vertical="center"/>
      <protection locked="0"/>
    </xf>
    <xf numFmtId="0" fontId="51" fillId="0" borderId="21" xfId="0" applyFont="1" applyBorder="1" applyAlignment="1">
      <alignment horizontal="left"/>
    </xf>
    <xf numFmtId="0" fontId="6" fillId="0" borderId="18" xfId="0" applyFont="1" applyBorder="1"/>
    <xf numFmtId="0" fontId="6" fillId="0" borderId="15" xfId="0" applyFont="1" applyBorder="1"/>
    <xf numFmtId="0" fontId="6" fillId="0" borderId="5" xfId="0" applyFont="1" applyBorder="1"/>
    <xf numFmtId="174" fontId="12" fillId="3" borderId="16" xfId="0" applyNumberFormat="1" applyFont="1" applyFill="1" applyBorder="1" applyAlignment="1">
      <alignment horizontal="right" vertical="center"/>
    </xf>
    <xf numFmtId="0" fontId="51" fillId="0" borderId="16" xfId="0" applyFont="1" applyBorder="1" applyAlignment="1">
      <alignment horizontal="left"/>
    </xf>
    <xf numFmtId="0" fontId="6" fillId="0" borderId="20" xfId="0" applyFont="1" applyBorder="1"/>
    <xf numFmtId="0" fontId="6" fillId="0" borderId="17" xfId="0" applyFont="1" applyBorder="1"/>
    <xf numFmtId="0" fontId="6" fillId="0" borderId="49" xfId="0" applyFont="1" applyBorder="1"/>
    <xf numFmtId="0" fontId="6" fillId="0" borderId="45" xfId="0" applyFont="1" applyBorder="1"/>
    <xf numFmtId="0" fontId="49" fillId="0" borderId="17" xfId="0" applyFont="1" applyBorder="1" applyAlignment="1">
      <alignment vertical="center" wrapText="1"/>
    </xf>
    <xf numFmtId="0" fontId="51" fillId="0" borderId="17" xfId="0" applyFont="1" applyBorder="1"/>
    <xf numFmtId="0" fontId="9" fillId="0" borderId="17" xfId="0" applyFont="1" applyBorder="1" applyAlignment="1">
      <alignment horizontal="right"/>
    </xf>
    <xf numFmtId="0" fontId="51" fillId="0" borderId="17" xfId="0" applyFont="1" applyBorder="1" applyProtection="1">
      <protection locked="0"/>
    </xf>
    <xf numFmtId="0" fontId="51" fillId="0" borderId="17" xfId="0" applyFont="1" applyBorder="1" applyAlignment="1" applyProtection="1">
      <alignment horizontal="right"/>
      <protection locked="0"/>
    </xf>
    <xf numFmtId="0" fontId="51" fillId="0" borderId="22" xfId="0" applyFont="1" applyBorder="1" applyAlignment="1">
      <alignment horizontal="left"/>
    </xf>
    <xf numFmtId="44" fontId="56" fillId="0" borderId="0" xfId="6" applyNumberFormat="1" applyFont="1" applyAlignment="1">
      <alignment horizontal="left"/>
    </xf>
    <xf numFmtId="44" fontId="56" fillId="0" borderId="0" xfId="6" applyNumberFormat="1" applyFont="1" applyAlignment="1">
      <alignment horizontal="left" vertical="center"/>
    </xf>
    <xf numFmtId="2" fontId="0" fillId="0" borderId="2" xfId="0" applyNumberFormat="1" applyBorder="1" applyAlignment="1">
      <alignment horizontal="right"/>
    </xf>
    <xf numFmtId="0" fontId="51" fillId="0" borderId="2" xfId="0" applyFont="1" applyBorder="1"/>
    <xf numFmtId="0" fontId="6" fillId="0" borderId="0" xfId="0" applyFont="1"/>
    <xf numFmtId="0" fontId="49" fillId="0" borderId="0" xfId="0" applyFont="1" applyAlignment="1">
      <alignment vertical="center" wrapText="1"/>
    </xf>
    <xf numFmtId="0" fontId="51" fillId="0" borderId="0" xfId="0" applyFont="1"/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1" fillId="0" borderId="0" xfId="0" applyFont="1" applyProtection="1">
      <protection locked="0"/>
    </xf>
    <xf numFmtId="0" fontId="51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vertical="top"/>
      <protection hidden="1"/>
    </xf>
    <xf numFmtId="166" fontId="6" fillId="0" borderId="16" xfId="0" applyNumberFormat="1" applyFont="1" applyBorder="1" applyProtection="1">
      <protection hidden="1"/>
    </xf>
    <xf numFmtId="0" fontId="6" fillId="0" borderId="18" xfId="0" applyFont="1" applyBorder="1" applyAlignment="1" applyProtection="1">
      <alignment vertical="center" textRotation="90"/>
      <protection hidden="1"/>
    </xf>
    <xf numFmtId="0" fontId="6" fillId="0" borderId="18" xfId="0" applyFont="1" applyBorder="1" applyAlignment="1" applyProtection="1">
      <alignment horizontal="left"/>
      <protection hidden="1"/>
    </xf>
    <xf numFmtId="0" fontId="6" fillId="0" borderId="0" xfId="0" applyFont="1" applyAlignment="1">
      <alignment horizontal="center" wrapText="1"/>
    </xf>
    <xf numFmtId="166" fontId="51" fillId="0" borderId="0" xfId="0" applyNumberFormat="1" applyFont="1"/>
    <xf numFmtId="0" fontId="59" fillId="0" borderId="0" xfId="0" applyFont="1"/>
    <xf numFmtId="0" fontId="48" fillId="0" borderId="0" xfId="0" applyFont="1" applyAlignment="1" applyProtection="1">
      <alignment horizontal="left"/>
      <protection hidden="1"/>
    </xf>
    <xf numFmtId="0" fontId="48" fillId="0" borderId="16" xfId="0" applyFont="1" applyBorder="1" applyProtection="1">
      <protection hidden="1"/>
    </xf>
    <xf numFmtId="0" fontId="31" fillId="0" borderId="0" xfId="0" applyFont="1" applyProtection="1">
      <protection hidden="1"/>
    </xf>
    <xf numFmtId="0" fontId="31" fillId="0" borderId="0" xfId="0" applyFont="1" applyAlignment="1" applyProtection="1">
      <alignment horizontal="left"/>
      <protection hidden="1"/>
    </xf>
    <xf numFmtId="0" fontId="31" fillId="0" borderId="0" xfId="0" applyFont="1" applyAlignment="1" applyProtection="1">
      <alignment horizontal="left" vertical="center" wrapText="1"/>
      <protection hidden="1"/>
    </xf>
    <xf numFmtId="1" fontId="31" fillId="0" borderId="0" xfId="0" applyNumberFormat="1" applyFont="1" applyProtection="1">
      <protection hidden="1"/>
    </xf>
    <xf numFmtId="2" fontId="0" fillId="0" borderId="27" xfId="0" applyNumberFormat="1" applyBorder="1"/>
    <xf numFmtId="9" fontId="0" fillId="0" borderId="27" xfId="0" applyNumberFormat="1" applyBorder="1"/>
    <xf numFmtId="0" fontId="0" fillId="15" borderId="2" xfId="0" applyFill="1" applyBorder="1"/>
    <xf numFmtId="0" fontId="0" fillId="0" borderId="31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7" xfId="0" applyBorder="1" applyAlignment="1">
      <alignment horizontal="left"/>
    </xf>
    <xf numFmtId="0" fontId="0" fillId="12" borderId="2" xfId="0" applyFill="1" applyBorder="1" applyAlignment="1" applyProtection="1">
      <alignment horizontal="center"/>
      <protection locked="0"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4" xfId="0" applyBorder="1" applyProtection="1"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7" fillId="0" borderId="0" xfId="7" applyFont="1" applyAlignment="1" applyProtection="1">
      <alignment horizontal="right"/>
      <protection hidden="1"/>
    </xf>
    <xf numFmtId="0" fontId="29" fillId="0" borderId="0" xfId="0" applyFont="1" applyProtection="1">
      <protection hidden="1"/>
    </xf>
    <xf numFmtId="175" fontId="0" fillId="17" borderId="15" xfId="0" applyNumberFormat="1" applyFill="1" applyBorder="1" applyAlignment="1" applyProtection="1">
      <alignment horizontal="center"/>
      <protection hidden="1"/>
    </xf>
    <xf numFmtId="2" fontId="0" fillId="0" borderId="27" xfId="0" applyNumberFormat="1" applyBorder="1" applyAlignment="1">
      <alignment horizontal="right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166" fontId="53" fillId="0" borderId="13" xfId="0" applyNumberFormat="1" applyFont="1" applyBorder="1" applyAlignment="1" applyProtection="1">
      <alignment horizontal="center" vertical="center"/>
      <protection locked="0"/>
    </xf>
    <xf numFmtId="166" fontId="53" fillId="0" borderId="0" xfId="0" applyNumberFormat="1" applyFont="1" applyAlignment="1" applyProtection="1">
      <alignment horizontal="center" vertical="center"/>
      <protection locked="0"/>
    </xf>
    <xf numFmtId="174" fontId="12" fillId="3" borderId="0" xfId="0" applyNumberFormat="1" applyFont="1" applyFill="1" applyAlignment="1">
      <alignment horizontal="center" vertical="center"/>
    </xf>
    <xf numFmtId="0" fontId="54" fillId="4" borderId="14" xfId="0" applyFont="1" applyFill="1" applyBorder="1" applyAlignment="1" applyProtection="1">
      <alignment horizontal="center" vertical="center" wrapText="1"/>
      <protection locked="0" hidden="1"/>
    </xf>
    <xf numFmtId="0" fontId="54" fillId="4" borderId="1" xfId="0" applyFont="1" applyFill="1" applyBorder="1" applyAlignment="1" applyProtection="1">
      <alignment horizontal="center" vertical="center" wrapText="1"/>
      <protection locked="0" hidden="1"/>
    </xf>
    <xf numFmtId="0" fontId="54" fillId="4" borderId="11" xfId="0" applyFont="1" applyFill="1" applyBorder="1" applyAlignment="1" applyProtection="1">
      <alignment horizontal="center" vertical="center" wrapText="1"/>
      <protection locked="0" hidden="1"/>
    </xf>
    <xf numFmtId="0" fontId="54" fillId="4" borderId="45" xfId="0" applyFont="1" applyFill="1" applyBorder="1" applyAlignment="1" applyProtection="1">
      <alignment horizontal="center" vertical="center" wrapText="1"/>
      <protection locked="0" hidden="1"/>
    </xf>
    <xf numFmtId="0" fontId="54" fillId="4" borderId="17" xfId="0" applyFont="1" applyFill="1" applyBorder="1" applyAlignment="1" applyProtection="1">
      <alignment horizontal="center" vertical="center" wrapText="1"/>
      <protection locked="0" hidden="1"/>
    </xf>
    <xf numFmtId="0" fontId="54" fillId="4" borderId="49" xfId="0" applyFont="1" applyFill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55" fillId="0" borderId="13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50" fillId="0" borderId="13" xfId="0" applyFont="1" applyBorder="1" applyAlignment="1" applyProtection="1">
      <alignment horizontal="center" vertical="center" wrapText="1"/>
      <protection hidden="1"/>
    </xf>
    <xf numFmtId="0" fontId="50" fillId="0" borderId="19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11" borderId="2" xfId="0" applyFont="1" applyFill="1" applyBorder="1" applyAlignment="1" applyProtection="1">
      <alignment horizontal="center"/>
      <protection locked="0" hidden="1"/>
    </xf>
    <xf numFmtId="0" fontId="6" fillId="12" borderId="2" xfId="0" applyFont="1" applyFill="1" applyBorder="1" applyAlignment="1" applyProtection="1">
      <alignment horizontal="center"/>
      <protection locked="0" hidden="1"/>
    </xf>
    <xf numFmtId="0" fontId="6" fillId="11" borderId="2" xfId="0" applyFont="1" applyFill="1" applyBorder="1" applyAlignment="1" applyProtection="1">
      <alignment horizontal="left"/>
      <protection locked="0" hidden="1"/>
    </xf>
    <xf numFmtId="166" fontId="6" fillId="0" borderId="2" xfId="0" applyNumberFormat="1" applyFont="1" applyBorder="1" applyAlignment="1" applyProtection="1">
      <alignment horizontal="center"/>
      <protection hidden="1"/>
    </xf>
    <xf numFmtId="166" fontId="6" fillId="0" borderId="26" xfId="0" applyNumberFormat="1" applyFont="1" applyBorder="1" applyAlignment="1" applyProtection="1">
      <alignment horizontal="center"/>
      <protection hidden="1"/>
    </xf>
    <xf numFmtId="167" fontId="6" fillId="0" borderId="2" xfId="0" applyNumberFormat="1" applyFont="1" applyBorder="1" applyAlignment="1" applyProtection="1">
      <alignment horizontal="center"/>
      <protection hidden="1"/>
    </xf>
    <xf numFmtId="167" fontId="6" fillId="0" borderId="26" xfId="0" applyNumberFormat="1" applyFont="1" applyBorder="1" applyAlignment="1" applyProtection="1">
      <alignment horizontal="center"/>
      <protection hidden="1"/>
    </xf>
    <xf numFmtId="0" fontId="51" fillId="0" borderId="14" xfId="0" applyFont="1" applyBorder="1" applyAlignment="1">
      <alignment horizontal="right" vertical="center" wrapText="1"/>
    </xf>
    <xf numFmtId="0" fontId="51" fillId="0" borderId="1" xfId="0" applyFont="1" applyBorder="1" applyAlignment="1">
      <alignment horizontal="right" vertical="center" wrapText="1"/>
    </xf>
    <xf numFmtId="0" fontId="51" fillId="0" borderId="11" xfId="0" applyFont="1" applyBorder="1" applyAlignment="1">
      <alignment horizontal="right" vertical="center" wrapText="1"/>
    </xf>
    <xf numFmtId="0" fontId="51" fillId="0" borderId="9" xfId="0" applyFont="1" applyBorder="1" applyAlignment="1">
      <alignment horizontal="right" vertical="center" wrapText="1"/>
    </xf>
    <xf numFmtId="0" fontId="51" fillId="0" borderId="19" xfId="0" applyFont="1" applyBorder="1" applyAlignment="1">
      <alignment horizontal="right" vertical="center" wrapText="1"/>
    </xf>
    <xf numFmtId="0" fontId="51" fillId="0" borderId="7" xfId="0" applyFont="1" applyBorder="1" applyAlignment="1">
      <alignment horizontal="right" vertical="center" wrapText="1"/>
    </xf>
    <xf numFmtId="167" fontId="51" fillId="0" borderId="14" xfId="0" applyNumberFormat="1" applyFont="1" applyBorder="1" applyAlignment="1">
      <alignment horizontal="center" vertical="center"/>
    </xf>
    <xf numFmtId="167" fontId="51" fillId="0" borderId="11" xfId="0" applyNumberFormat="1" applyFont="1" applyBorder="1" applyAlignment="1">
      <alignment horizontal="center" vertical="center"/>
    </xf>
    <xf numFmtId="167" fontId="51" fillId="0" borderId="9" xfId="0" applyNumberFormat="1" applyFont="1" applyBorder="1" applyAlignment="1">
      <alignment horizontal="center" vertical="center"/>
    </xf>
    <xf numFmtId="167" fontId="51" fillId="0" borderId="7" xfId="0" applyNumberFormat="1" applyFont="1" applyBorder="1" applyAlignment="1">
      <alignment horizontal="center" vertical="center"/>
    </xf>
    <xf numFmtId="9" fontId="51" fillId="12" borderId="4" xfId="0" applyNumberFormat="1" applyFont="1" applyFill="1" applyBorder="1" applyAlignment="1" applyProtection="1">
      <alignment horizontal="center" vertical="center"/>
      <protection locked="0"/>
    </xf>
    <xf numFmtId="9" fontId="51" fillId="12" borderId="3" xfId="0" applyNumberFormat="1" applyFont="1" applyFill="1" applyBorder="1" applyAlignment="1" applyProtection="1">
      <alignment horizontal="center" vertical="center"/>
      <protection locked="0"/>
    </xf>
    <xf numFmtId="167" fontId="59" fillId="0" borderId="2" xfId="0" applyNumberFormat="1" applyFont="1" applyBorder="1" applyAlignment="1">
      <alignment horizontal="center" vertical="center"/>
    </xf>
    <xf numFmtId="0" fontId="51" fillId="12" borderId="2" xfId="0" applyFont="1" applyFill="1" applyBorder="1" applyAlignment="1" applyProtection="1">
      <alignment horizontal="center"/>
      <protection locked="0"/>
    </xf>
    <xf numFmtId="0" fontId="51" fillId="12" borderId="26" xfId="0" applyFont="1" applyFill="1" applyBorder="1" applyAlignment="1" applyProtection="1">
      <alignment horizontal="center"/>
      <protection locked="0"/>
    </xf>
    <xf numFmtId="0" fontId="58" fillId="0" borderId="0" xfId="12" applyFont="1" applyFill="1" applyBorder="1" applyAlignment="1" applyProtection="1">
      <alignment horizontal="center"/>
      <protection hidden="1"/>
    </xf>
    <xf numFmtId="0" fontId="51" fillId="0" borderId="6" xfId="0" applyFont="1" applyBorder="1" applyAlignment="1">
      <alignment horizontal="center"/>
    </xf>
    <xf numFmtId="0" fontId="51" fillId="0" borderId="10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51" fillId="0" borderId="26" xfId="0" applyFont="1" applyBorder="1" applyAlignment="1">
      <alignment horizontal="center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6" fillId="12" borderId="14" xfId="0" applyFont="1" applyFill="1" applyBorder="1" applyAlignment="1" applyProtection="1">
      <alignment horizontal="center"/>
      <protection locked="0" hidden="1"/>
    </xf>
    <xf numFmtId="0" fontId="6" fillId="12" borderId="1" xfId="0" applyFont="1" applyFill="1" applyBorder="1" applyAlignment="1" applyProtection="1">
      <alignment horizontal="center"/>
      <protection locked="0" hidden="1"/>
    </xf>
    <xf numFmtId="0" fontId="6" fillId="12" borderId="48" xfId="0" applyFont="1" applyFill="1" applyBorder="1" applyAlignment="1" applyProtection="1">
      <alignment horizontal="center"/>
      <protection locked="0" hidden="1"/>
    </xf>
    <xf numFmtId="0" fontId="6" fillId="12" borderId="9" xfId="0" applyFont="1" applyFill="1" applyBorder="1" applyAlignment="1" applyProtection="1">
      <alignment horizontal="center"/>
      <protection locked="0" hidden="1"/>
    </xf>
    <xf numFmtId="0" fontId="6" fillId="12" borderId="19" xfId="0" applyFont="1" applyFill="1" applyBorder="1" applyAlignment="1" applyProtection="1">
      <alignment horizontal="center"/>
      <protection locked="0" hidden="1"/>
    </xf>
    <xf numFmtId="0" fontId="6" fillId="12" borderId="51" xfId="0" applyFont="1" applyFill="1" applyBorder="1" applyAlignment="1" applyProtection="1">
      <alignment horizontal="center"/>
      <protection locked="0" hidden="1"/>
    </xf>
    <xf numFmtId="0" fontId="6" fillId="12" borderId="14" xfId="0" applyFont="1" applyFill="1" applyBorder="1" applyAlignment="1" applyProtection="1">
      <alignment horizontal="center" vertical="top"/>
      <protection locked="0" hidden="1"/>
    </xf>
    <xf numFmtId="0" fontId="6" fillId="12" borderId="1" xfId="0" applyFont="1" applyFill="1" applyBorder="1" applyAlignment="1" applyProtection="1">
      <alignment horizontal="center" vertical="top"/>
      <protection locked="0" hidden="1"/>
    </xf>
    <xf numFmtId="0" fontId="6" fillId="12" borderId="11" xfId="0" applyFont="1" applyFill="1" applyBorder="1" applyAlignment="1" applyProtection="1">
      <alignment horizontal="center" vertical="top"/>
      <protection locked="0" hidden="1"/>
    </xf>
    <xf numFmtId="0" fontId="6" fillId="12" borderId="9" xfId="0" applyFont="1" applyFill="1" applyBorder="1" applyAlignment="1" applyProtection="1">
      <alignment horizontal="center" vertical="top"/>
      <protection locked="0" hidden="1"/>
    </xf>
    <xf numFmtId="0" fontId="6" fillId="12" borderId="19" xfId="0" applyFont="1" applyFill="1" applyBorder="1" applyAlignment="1" applyProtection="1">
      <alignment horizontal="center" vertical="top"/>
      <protection locked="0" hidden="1"/>
    </xf>
    <xf numFmtId="0" fontId="6" fillId="12" borderId="7" xfId="0" applyFont="1" applyFill="1" applyBorder="1" applyAlignment="1" applyProtection="1">
      <alignment horizontal="center" vertical="top"/>
      <protection locked="0"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6" fillId="12" borderId="5" xfId="0" applyFont="1" applyFill="1" applyBorder="1" applyAlignment="1" applyProtection="1">
      <alignment horizontal="center"/>
      <protection locked="0" hidden="1"/>
    </xf>
    <xf numFmtId="0" fontId="6" fillId="12" borderId="0" xfId="0" applyFont="1" applyFill="1" applyAlignment="1" applyProtection="1">
      <alignment horizontal="center"/>
      <protection locked="0" hidden="1"/>
    </xf>
    <xf numFmtId="0" fontId="6" fillId="12" borderId="16" xfId="0" applyFont="1" applyFill="1" applyBorder="1" applyAlignment="1" applyProtection="1">
      <alignment horizontal="center"/>
      <protection locked="0" hidden="1"/>
    </xf>
    <xf numFmtId="166" fontId="51" fillId="12" borderId="2" xfId="0" applyNumberFormat="1" applyFont="1" applyFill="1" applyBorder="1" applyAlignment="1" applyProtection="1">
      <alignment horizontal="center"/>
      <protection locked="0"/>
    </xf>
    <xf numFmtId="166" fontId="51" fillId="12" borderId="26" xfId="0" applyNumberFormat="1" applyFont="1" applyFill="1" applyBorder="1" applyAlignment="1" applyProtection="1">
      <alignment horizontal="center"/>
      <protection locked="0"/>
    </xf>
    <xf numFmtId="0" fontId="6" fillId="12" borderId="48" xfId="0" applyFont="1" applyFill="1" applyBorder="1" applyAlignment="1" applyProtection="1">
      <alignment horizontal="center" vertical="top"/>
      <protection locked="0" hidden="1"/>
    </xf>
    <xf numFmtId="0" fontId="6" fillId="12" borderId="51" xfId="0" applyFont="1" applyFill="1" applyBorder="1" applyAlignment="1" applyProtection="1">
      <alignment horizontal="center" vertical="top"/>
      <protection locked="0"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169" fontId="0" fillId="0" borderId="2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left" wrapText="1"/>
      <protection hidden="1"/>
    </xf>
    <xf numFmtId="0" fontId="13" fillId="0" borderId="19" xfId="0" applyFont="1" applyBorder="1" applyAlignment="1" applyProtection="1">
      <alignment horizontal="left" wrapText="1"/>
      <protection hidden="1"/>
    </xf>
    <xf numFmtId="0" fontId="13" fillId="0" borderId="7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hidden="1"/>
    </xf>
    <xf numFmtId="169" fontId="0" fillId="0" borderId="2" xfId="0" applyNumberFormat="1" applyBorder="1" applyAlignment="1" applyProtection="1">
      <alignment horizontal="center"/>
      <protection hidden="1"/>
    </xf>
    <xf numFmtId="169" fontId="0" fillId="0" borderId="6" xfId="0" applyNumberForma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left" wrapText="1"/>
      <protection hidden="1"/>
    </xf>
    <xf numFmtId="0" fontId="0" fillId="12" borderId="2" xfId="0" applyFill="1" applyBorder="1" applyAlignment="1" applyProtection="1">
      <alignment horizontal="center"/>
      <protection locked="0" hidden="1"/>
    </xf>
    <xf numFmtId="0" fontId="22" fillId="0" borderId="6" xfId="0" applyFont="1" applyBorder="1" applyAlignment="1" applyProtection="1">
      <alignment horizontal="left" vertical="center"/>
      <protection hidden="1"/>
    </xf>
    <xf numFmtId="0" fontId="22" fillId="0" borderId="8" xfId="0" applyFont="1" applyBorder="1" applyAlignment="1" applyProtection="1">
      <alignment horizontal="left" vertical="center"/>
      <protection hidden="1"/>
    </xf>
    <xf numFmtId="0" fontId="22" fillId="0" borderId="10" xfId="0" applyFont="1" applyBorder="1" applyAlignment="1" applyProtection="1">
      <alignment horizontal="left" vertical="center"/>
      <protection hidden="1"/>
    </xf>
    <xf numFmtId="0" fontId="22" fillId="0" borderId="6" xfId="0" applyFont="1" applyBorder="1" applyAlignment="1" applyProtection="1">
      <alignment horizontal="left" vertical="center" wrapText="1"/>
      <protection hidden="1"/>
    </xf>
    <xf numFmtId="0" fontId="22" fillId="0" borderId="8" xfId="0" applyFont="1" applyBorder="1" applyAlignment="1" applyProtection="1">
      <alignment horizontal="left" vertical="center" wrapText="1"/>
      <protection hidden="1"/>
    </xf>
    <xf numFmtId="0" fontId="22" fillId="0" borderId="10" xfId="0" applyFont="1" applyBorder="1" applyAlignment="1" applyProtection="1">
      <alignment horizontal="left" vertical="center" wrapText="1"/>
      <protection hidden="1"/>
    </xf>
    <xf numFmtId="0" fontId="0" fillId="12" borderId="9" xfId="0" applyFill="1" applyBorder="1" applyAlignment="1" applyProtection="1">
      <alignment horizontal="center"/>
      <protection locked="0" hidden="1"/>
    </xf>
    <xf numFmtId="0" fontId="0" fillId="12" borderId="19" xfId="0" applyFill="1" applyBorder="1" applyAlignment="1" applyProtection="1">
      <alignment horizontal="center"/>
      <protection locked="0" hidden="1"/>
    </xf>
    <xf numFmtId="0" fontId="0" fillId="12" borderId="7" xfId="0" applyFill="1" applyBorder="1" applyAlignment="1" applyProtection="1">
      <alignment horizontal="center"/>
      <protection locked="0" hidden="1"/>
    </xf>
    <xf numFmtId="0" fontId="0" fillId="12" borderId="6" xfId="0" applyFill="1" applyBorder="1" applyAlignment="1" applyProtection="1">
      <alignment horizontal="center"/>
      <protection locked="0" hidden="1"/>
    </xf>
    <xf numFmtId="0" fontId="0" fillId="12" borderId="8" xfId="0" applyFill="1" applyBorder="1" applyAlignment="1" applyProtection="1">
      <alignment horizontal="center"/>
      <protection locked="0" hidden="1"/>
    </xf>
    <xf numFmtId="0" fontId="0" fillId="12" borderId="10" xfId="0" applyFill="1" applyBorder="1" applyAlignment="1" applyProtection="1">
      <alignment horizontal="center"/>
      <protection locked="0" hidden="1"/>
    </xf>
    <xf numFmtId="0" fontId="6" fillId="0" borderId="6" xfId="0" applyFont="1" applyBorder="1" applyAlignment="1" applyProtection="1">
      <alignment wrapText="1"/>
      <protection hidden="1"/>
    </xf>
    <xf numFmtId="0" fontId="6" fillId="0" borderId="8" xfId="0" applyFont="1" applyBorder="1" applyAlignment="1" applyProtection="1">
      <alignment wrapText="1"/>
      <protection hidden="1"/>
    </xf>
    <xf numFmtId="10" fontId="6" fillId="12" borderId="2" xfId="0" applyNumberFormat="1" applyFont="1" applyFill="1" applyBorder="1" applyAlignment="1" applyProtection="1">
      <alignment horizontal="center"/>
      <protection locked="0" hidden="1"/>
    </xf>
    <xf numFmtId="10" fontId="6" fillId="0" borderId="2" xfId="0" applyNumberFormat="1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left"/>
      <protection hidden="1"/>
    </xf>
    <xf numFmtId="0" fontId="16" fillId="0" borderId="13" xfId="0" applyFont="1" applyBorder="1" applyAlignment="1" applyProtection="1">
      <alignment horizontal="left"/>
      <protection hidden="1"/>
    </xf>
    <xf numFmtId="0" fontId="16" fillId="0" borderId="21" xfId="0" applyFont="1" applyBorder="1" applyAlignment="1" applyProtection="1">
      <alignment horizontal="left"/>
      <protection hidden="1"/>
    </xf>
    <xf numFmtId="0" fontId="27" fillId="0" borderId="0" xfId="0" applyFont="1" applyAlignment="1" applyProtection="1">
      <alignment horizontal="center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15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wrapText="1"/>
      <protection hidden="1"/>
    </xf>
    <xf numFmtId="174" fontId="6" fillId="0" borderId="0" xfId="0" applyNumberFormat="1" applyFont="1" applyAlignment="1" applyProtection="1">
      <alignment horizontal="center" vertical="center"/>
      <protection hidden="1"/>
    </xf>
    <xf numFmtId="174" fontId="6" fillId="0" borderId="16" xfId="0" applyNumberFormat="1" applyFont="1" applyBorder="1" applyAlignment="1" applyProtection="1">
      <alignment horizontal="center" vertical="center"/>
      <protection hidden="1"/>
    </xf>
    <xf numFmtId="0" fontId="5" fillId="11" borderId="6" xfId="0" applyFont="1" applyFill="1" applyBorder="1" applyAlignment="1" applyProtection="1">
      <alignment horizontal="center" vertical="center" wrapText="1"/>
      <protection locked="0" hidden="1"/>
    </xf>
    <xf numFmtId="0" fontId="5" fillId="11" borderId="10" xfId="0" applyFont="1" applyFill="1" applyBorder="1" applyAlignment="1" applyProtection="1">
      <alignment horizontal="center" vertical="center" wrapText="1"/>
      <protection locked="0" hidden="1"/>
    </xf>
    <xf numFmtId="0" fontId="5" fillId="11" borderId="6" xfId="0" applyFont="1" applyFill="1" applyBorder="1" applyAlignment="1" applyProtection="1">
      <alignment horizontal="center" vertical="center"/>
      <protection locked="0" hidden="1"/>
    </xf>
    <xf numFmtId="0" fontId="5" fillId="11" borderId="8" xfId="0" applyFont="1" applyFill="1" applyBorder="1" applyAlignment="1" applyProtection="1">
      <alignment horizontal="center" vertical="center"/>
      <protection locked="0" hidden="1"/>
    </xf>
    <xf numFmtId="0" fontId="5" fillId="11" borderId="10" xfId="0" applyFont="1" applyFill="1" applyBorder="1" applyAlignment="1" applyProtection="1">
      <alignment horizontal="center" vertical="center"/>
      <protection locked="0" hidden="1"/>
    </xf>
    <xf numFmtId="0" fontId="24" fillId="0" borderId="2" xfId="0" applyFont="1" applyBorder="1" applyAlignment="1" applyProtection="1">
      <alignment horizontal="center"/>
      <protection hidden="1"/>
    </xf>
    <xf numFmtId="0" fontId="6" fillId="0" borderId="42" xfId="0" applyFont="1" applyBorder="1" applyAlignment="1" applyProtection="1">
      <alignment wrapText="1"/>
      <protection hidden="1"/>
    </xf>
    <xf numFmtId="0" fontId="6" fillId="0" borderId="38" xfId="0" applyFont="1" applyBorder="1" applyAlignment="1" applyProtection="1">
      <alignment wrapText="1"/>
      <protection hidden="1"/>
    </xf>
    <xf numFmtId="164" fontId="6" fillId="0" borderId="27" xfId="0" applyNumberFormat="1" applyFont="1" applyBorder="1" applyAlignment="1" applyProtection="1">
      <alignment horizontal="center"/>
      <protection hidden="1"/>
    </xf>
    <xf numFmtId="9" fontId="6" fillId="12" borderId="4" xfId="0" applyNumberFormat="1" applyFont="1" applyFill="1" applyBorder="1" applyAlignment="1" applyProtection="1">
      <alignment horizontal="center" vertical="center"/>
      <protection locked="0" hidden="1"/>
    </xf>
    <xf numFmtId="9" fontId="6" fillId="12" borderId="3" xfId="0" applyNumberFormat="1" applyFont="1" applyFill="1" applyBorder="1" applyAlignment="1" applyProtection="1">
      <alignment horizontal="center" vertical="center"/>
      <protection locked="0" hidden="1"/>
    </xf>
    <xf numFmtId="164" fontId="6" fillId="0" borderId="2" xfId="0" applyNumberFormat="1" applyFont="1" applyBorder="1" applyAlignment="1" applyProtection="1">
      <alignment horizontal="center"/>
      <protection hidden="1"/>
    </xf>
    <xf numFmtId="1" fontId="0" fillId="0" borderId="2" xfId="0" applyNumberFormat="1" applyBorder="1" applyAlignment="1" applyProtection="1">
      <alignment horizontal="center"/>
      <protection hidden="1"/>
    </xf>
    <xf numFmtId="0" fontId="4" fillId="0" borderId="2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12" fillId="0" borderId="40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2" fillId="0" borderId="41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2" xfId="6" applyBorder="1" applyAlignment="1">
      <alignment horizontal="center"/>
    </xf>
    <xf numFmtId="0" fontId="4" fillId="5" borderId="2" xfId="6" applyFont="1" applyFill="1" applyBorder="1" applyAlignment="1">
      <alignment horizontal="center" vertical="center" wrapText="1"/>
    </xf>
    <xf numFmtId="0" fontId="17" fillId="0" borderId="4" xfId="6" applyBorder="1" applyAlignment="1">
      <alignment horizontal="center" vertical="center"/>
    </xf>
    <xf numFmtId="0" fontId="17" fillId="0" borderId="24" xfId="6" applyBorder="1" applyAlignment="1">
      <alignment horizontal="center" vertical="center"/>
    </xf>
    <xf numFmtId="0" fontId="17" fillId="0" borderId="3" xfId="6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4" fillId="0" borderId="24" xfId="6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 wrapText="1"/>
    </xf>
    <xf numFmtId="0" fontId="3" fillId="0" borderId="24" xfId="6" applyFont="1" applyBorder="1" applyAlignment="1">
      <alignment horizontal="center" vertical="center" wrapText="1"/>
    </xf>
    <xf numFmtId="0" fontId="3" fillId="0" borderId="3" xfId="6" applyFont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20" fillId="6" borderId="24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17" fillId="0" borderId="4" xfId="6" applyBorder="1" applyAlignment="1">
      <alignment horizontal="left" vertical="center"/>
    </xf>
    <xf numFmtId="0" fontId="17" fillId="0" borderId="24" xfId="6" applyBorder="1" applyAlignment="1">
      <alignment horizontal="left" vertical="center"/>
    </xf>
    <xf numFmtId="0" fontId="17" fillId="0" borderId="3" xfId="6" applyBorder="1" applyAlignment="1">
      <alignment horizontal="left" vertical="center"/>
    </xf>
    <xf numFmtId="168" fontId="17" fillId="0" borderId="4" xfId="6" applyNumberFormat="1" applyBorder="1" applyAlignment="1">
      <alignment horizontal="center" vertical="center"/>
    </xf>
    <xf numFmtId="168" fontId="17" fillId="0" borderId="24" xfId="6" applyNumberFormat="1" applyBorder="1" applyAlignment="1">
      <alignment horizontal="center" vertical="center"/>
    </xf>
    <xf numFmtId="168" fontId="17" fillId="0" borderId="3" xfId="6" applyNumberFormat="1" applyBorder="1" applyAlignment="1">
      <alignment horizontal="center" vertical="center"/>
    </xf>
    <xf numFmtId="0" fontId="4" fillId="3" borderId="4" xfId="6" applyFont="1" applyFill="1" applyBorder="1" applyAlignment="1">
      <alignment horizontal="center" vertical="center"/>
    </xf>
    <xf numFmtId="0" fontId="4" fillId="3" borderId="24" xfId="6" applyFont="1" applyFill="1" applyBorder="1" applyAlignment="1">
      <alignment horizontal="center" vertical="center"/>
    </xf>
    <xf numFmtId="0" fontId="4" fillId="3" borderId="3" xfId="6" applyFont="1" applyFill="1" applyBorder="1" applyAlignment="1">
      <alignment horizontal="center" vertical="center"/>
    </xf>
    <xf numFmtId="168" fontId="17" fillId="0" borderId="2" xfId="6" applyNumberFormat="1" applyBorder="1" applyAlignment="1">
      <alignment horizontal="center" vertical="center"/>
    </xf>
    <xf numFmtId="0" fontId="17" fillId="2" borderId="0" xfId="6" applyFill="1" applyAlignment="1">
      <alignment horizontal="center"/>
    </xf>
    <xf numFmtId="0" fontId="4" fillId="3" borderId="2" xfId="6" applyFont="1" applyFill="1" applyBorder="1" applyAlignment="1">
      <alignment horizontal="center" vertical="center"/>
    </xf>
    <xf numFmtId="0" fontId="4" fillId="5" borderId="2" xfId="6" applyFont="1" applyFill="1" applyBorder="1" applyAlignment="1">
      <alignment horizontal="center" vertical="center"/>
    </xf>
    <xf numFmtId="0" fontId="0" fillId="0" borderId="6" xfId="6" applyFont="1" applyBorder="1" applyAlignment="1">
      <alignment horizontal="center" vertical="center" wrapText="1"/>
    </xf>
    <xf numFmtId="0" fontId="3" fillId="0" borderId="8" xfId="6" applyFont="1" applyBorder="1" applyAlignment="1">
      <alignment horizontal="center" vertical="center" wrapText="1"/>
    </xf>
    <xf numFmtId="0" fontId="3" fillId="0" borderId="10" xfId="6" applyFont="1" applyBorder="1" applyAlignment="1">
      <alignment horizontal="center" vertical="center" wrapText="1"/>
    </xf>
    <xf numFmtId="0" fontId="17" fillId="2" borderId="2" xfId="6" applyFill="1" applyBorder="1" applyAlignment="1">
      <alignment horizontal="left" wrapText="1"/>
    </xf>
    <xf numFmtId="0" fontId="3" fillId="0" borderId="2" xfId="6" applyFont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17" fillId="0" borderId="17" xfId="6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0" fillId="13" borderId="31" xfId="0" applyFill="1" applyBorder="1" applyAlignment="1">
      <alignment horizontal="center"/>
    </xf>
    <xf numFmtId="0" fontId="0" fillId="13" borderId="32" xfId="0" applyFill="1" applyBorder="1" applyAlignment="1">
      <alignment horizontal="center"/>
    </xf>
    <xf numFmtId="0" fontId="0" fillId="13" borderId="33" xfId="0" applyFill="1" applyBorder="1" applyAlignment="1">
      <alignment horizontal="center"/>
    </xf>
    <xf numFmtId="0" fontId="30" fillId="0" borderId="0" xfId="0" applyFont="1" applyAlignment="1">
      <alignment horizontal="center" textRotation="90"/>
    </xf>
    <xf numFmtId="0" fontId="29" fillId="0" borderId="17" xfId="0" applyFont="1" applyBorder="1" applyAlignment="1">
      <alignment horizontal="center"/>
    </xf>
    <xf numFmtId="0" fontId="32" fillId="0" borderId="0" xfId="0" applyFont="1" applyAlignment="1">
      <alignment horizontal="center" textRotation="90"/>
    </xf>
    <xf numFmtId="0" fontId="0" fillId="0" borderId="4" xfId="0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0" borderId="52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10" borderId="5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16" borderId="19" xfId="0" applyFill="1" applyBorder="1" applyAlignment="1">
      <alignment horizontal="center"/>
    </xf>
  </cellXfs>
  <cellStyles count="13">
    <cellStyle name="Гиперссылка" xfId="11" builtinId="8"/>
    <cellStyle name="Денежный" xfId="8" builtinId="4"/>
    <cellStyle name="Денежный 2" xfId="1" xr:uid="{00000000-0005-0000-0000-000001000000}"/>
    <cellStyle name="Заголовок 1" xfId="9" builtinId="16"/>
    <cellStyle name="Заголовок 2" xfId="12" builtinId="17"/>
    <cellStyle name="Итог" xfId="10" builtinId="25"/>
    <cellStyle name="Обычный" xfId="0" builtinId="0"/>
    <cellStyle name="Обычный 2" xfId="2" xr:uid="{00000000-0005-0000-0000-000005000000}"/>
    <cellStyle name="Обычный 2 2" xfId="5" xr:uid="{00000000-0005-0000-0000-000006000000}"/>
    <cellStyle name="Обычный 3" xfId="3" xr:uid="{00000000-0005-0000-0000-000007000000}"/>
    <cellStyle name="Обычный 4" xfId="4" xr:uid="{00000000-0005-0000-0000-000008000000}"/>
    <cellStyle name="Обычный 5" xfId="6" xr:uid="{00000000-0005-0000-0000-000009000000}"/>
    <cellStyle name="Пояснение" xfId="7" builtinId="53"/>
  </cellStyles>
  <dxfs count="36">
    <dxf>
      <numFmt numFmtId="19" formatCode="dd/mm/yyyy"/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4F81BD"/>
      <color rgb="FFCC3300"/>
      <color rgb="FFCBD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image" Target="../media/image6.jpe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jpeg"/><Relationship Id="rId5" Type="http://schemas.openxmlformats.org/officeDocument/2006/relationships/image" Target="../media/image1.png"/><Relationship Id="rId4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2012156</xdr:colOff>
      <xdr:row>225</xdr:row>
      <xdr:rowOff>446484</xdr:rowOff>
    </xdr:from>
    <xdr:to>
      <xdr:col>29</xdr:col>
      <xdr:colOff>2172890</xdr:colOff>
      <xdr:row>225</xdr:row>
      <xdr:rowOff>1410891</xdr:rowOff>
    </xdr:to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1825406" y="20572809"/>
          <a:ext cx="0" cy="238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28</xdr:col>
      <xdr:colOff>554935</xdr:colOff>
      <xdr:row>229</xdr:row>
      <xdr:rowOff>414130</xdr:rowOff>
    </xdr:from>
    <xdr:to>
      <xdr:col>28</xdr:col>
      <xdr:colOff>1681370</xdr:colOff>
      <xdr:row>229</xdr:row>
      <xdr:rowOff>778565</xdr:rowOff>
    </xdr:to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0206260" y="21340555"/>
          <a:ext cx="993085" cy="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26</xdr:col>
      <xdr:colOff>342900</xdr:colOff>
      <xdr:row>21</xdr:row>
      <xdr:rowOff>85725</xdr:rowOff>
    </xdr:from>
    <xdr:to>
      <xdr:col>30</xdr:col>
      <xdr:colOff>367956</xdr:colOff>
      <xdr:row>26</xdr:row>
      <xdr:rowOff>167713</xdr:rowOff>
    </xdr:to>
    <xdr:grpSp>
      <xdr:nvGrpSpPr>
        <xdr:cNvPr id="3" name="Группа 2">
          <a:extLst>
            <a:ext uri="{FF2B5EF4-FFF2-40B4-BE49-F238E27FC236}">
              <a16:creationId xmlns:a16="http://schemas.microsoft.com/office/drawing/2014/main" id="{DA89BBCF-E5AB-4E5C-BA71-EAAA4A614535}"/>
            </a:ext>
          </a:extLst>
        </xdr:cNvPr>
        <xdr:cNvGrpSpPr/>
      </xdr:nvGrpSpPr>
      <xdr:grpSpPr>
        <a:xfrm>
          <a:off x="14013180" y="4246245"/>
          <a:ext cx="2128176" cy="1072588"/>
          <a:chOff x="11715750" y="3771899"/>
          <a:chExt cx="2086266" cy="1085923"/>
        </a:xfrm>
      </xdr:grpSpPr>
      <xdr:pic>
        <xdr:nvPicPr>
          <xdr:cNvPr id="4" name="Рисунок 3">
            <a:extLst>
              <a:ext uri="{FF2B5EF4-FFF2-40B4-BE49-F238E27FC236}">
                <a16:creationId xmlns:a16="http://schemas.microsoft.com/office/drawing/2014/main" id="{7AD1A73C-B398-9EB2-31D3-FA3E3102BB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1715750" y="4343400"/>
            <a:ext cx="2086266" cy="514422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1EB0DBB1-714A-BC98-DBBB-FFD4DE2081F9}"/>
              </a:ext>
            </a:extLst>
          </xdr:cNvPr>
          <xdr:cNvSpPr txBox="1"/>
        </xdr:nvSpPr>
        <xdr:spPr>
          <a:xfrm>
            <a:off x="11768283" y="3771899"/>
            <a:ext cx="1981200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1100" b="1">
                <a:solidFill>
                  <a:srgbClr val="0070C0"/>
                </a:solidFill>
              </a:rPr>
              <a:t>При</a:t>
            </a:r>
            <a:r>
              <a:rPr lang="ru-RU" sz="1100" b="1" baseline="0">
                <a:solidFill>
                  <a:srgbClr val="0070C0"/>
                </a:solidFill>
              </a:rPr>
              <a:t> необходимости расчета без вставок, оставьте ячейку "наполнение" пустой</a:t>
            </a:r>
            <a:endParaRPr lang="ru-RU" sz="1100" b="1">
              <a:solidFill>
                <a:srgbClr val="0070C0"/>
              </a:solidFill>
            </a:endParaRPr>
          </a:p>
        </xdr:txBody>
      </xdr:sp>
    </xdr:grpSp>
    <xdr:clientData fPrintsWithSheet="0"/>
  </xdr:twoCellAnchor>
  <xdr:twoCellAnchor editAs="absolute">
    <xdr:from>
      <xdr:col>26</xdr:col>
      <xdr:colOff>133349</xdr:colOff>
      <xdr:row>0</xdr:row>
      <xdr:rowOff>114300</xdr:rowOff>
    </xdr:from>
    <xdr:to>
      <xdr:col>32</xdr:col>
      <xdr:colOff>419100</xdr:colOff>
      <xdr:row>8</xdr:row>
      <xdr:rowOff>66675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C896737-0A1B-C9F9-128E-3B67F4BC4A3E}"/>
            </a:ext>
          </a:extLst>
        </xdr:cNvPr>
        <xdr:cNvSpPr txBox="1"/>
      </xdr:nvSpPr>
      <xdr:spPr>
        <a:xfrm>
          <a:off x="13506449" y="114300"/>
          <a:ext cx="3371851" cy="1552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400" b="1">
              <a:solidFill>
                <a:srgbClr val="FF0000"/>
              </a:solidFill>
            </a:rPr>
            <a:t>Технические описания и ограничения</a:t>
          </a:r>
          <a:endParaRPr lang="en-US" sz="1400" b="1">
            <a:solidFill>
              <a:srgbClr val="FF0000"/>
            </a:solidFill>
          </a:endParaRPr>
        </a:p>
        <a:p>
          <a:pPr algn="l"/>
          <a:r>
            <a:rPr lang="ru-RU" sz="1100" b="0">
              <a:solidFill>
                <a:sysClr val="windowText" lastClr="000000"/>
              </a:solidFill>
            </a:rPr>
            <a:t>Высота дверей до 2000мм</a:t>
          </a:r>
          <a:endParaRPr lang="en-US" sz="1100" b="0">
            <a:solidFill>
              <a:sysClr val="windowText" lastClr="000000"/>
            </a:solidFill>
          </a:endParaRPr>
        </a:p>
        <a:p>
          <a:pPr algn="l"/>
          <a:r>
            <a:rPr lang="ru-RU" sz="1100" b="0">
              <a:solidFill>
                <a:sysClr val="windowText" lastClr="000000"/>
              </a:solidFill>
            </a:rPr>
            <a:t>Ширина дверей от 210мм до 600мм</a:t>
          </a:r>
        </a:p>
        <a:p>
          <a:pPr algn="l"/>
          <a:r>
            <a:rPr lang="ru-RU" sz="1100" b="0">
              <a:solidFill>
                <a:sysClr val="windowText" lastClr="000000"/>
              </a:solidFill>
            </a:rPr>
            <a:t>Вес дверей до 12 кг</a:t>
          </a:r>
        </a:p>
        <a:p>
          <a:pPr algn="l"/>
          <a:r>
            <a:rPr lang="ru-RU" sz="1100" b="0">
              <a:solidFill>
                <a:sysClr val="windowText" lastClr="000000"/>
              </a:solidFill>
            </a:rPr>
            <a:t>Наполнение только : стекло/зеркало 4мм</a:t>
          </a:r>
        </a:p>
        <a:p>
          <a:pPr algn="l"/>
          <a:endParaRPr lang="ru-RU" sz="1100" b="0">
            <a:solidFill>
              <a:sysClr val="windowText" lastClr="000000"/>
            </a:solidFill>
          </a:endParaRPr>
        </a:p>
        <a:p>
          <a:pPr algn="l"/>
          <a:r>
            <a:rPr lang="ru-RU" sz="1100" b="0">
              <a:solidFill>
                <a:sysClr val="windowText" lastClr="000000"/>
              </a:solidFill>
            </a:rPr>
            <a:t>Расчет ширины 1 дверей </a:t>
          </a:r>
          <a:r>
            <a:rPr lang="en-US" sz="1100" b="0">
              <a:solidFill>
                <a:sysClr val="windowText" lastClr="000000"/>
              </a:solidFill>
            </a:rPr>
            <a:t>L</a:t>
          </a:r>
          <a:r>
            <a:rPr lang="ru-RU" sz="1100" b="0">
              <a:solidFill>
                <a:sysClr val="windowText" lastClr="000000"/>
              </a:solidFill>
            </a:rPr>
            <a:t>дв = </a:t>
          </a:r>
          <a:r>
            <a:rPr lang="en-US" sz="1100" b="0">
              <a:solidFill>
                <a:sysClr val="windowText" lastClr="000000"/>
              </a:solidFill>
            </a:rPr>
            <a:t>L</a:t>
          </a:r>
          <a:r>
            <a:rPr lang="ru-RU" sz="1100" b="0">
              <a:solidFill>
                <a:sysClr val="windowText" lastClr="000000"/>
              </a:solidFill>
            </a:rPr>
            <a:t>пр - 4мм</a:t>
          </a:r>
        </a:p>
        <a:p>
          <a:pPr algn="l"/>
          <a:r>
            <a:rPr lang="ru-RU" sz="1100" b="0">
              <a:solidFill>
                <a:sysClr val="windowText" lastClr="000000"/>
              </a:solidFill>
            </a:rPr>
            <a:t>Расчет ширины 2 дверей </a:t>
          </a:r>
          <a:r>
            <a:rPr lang="en-US" sz="1100" b="0">
              <a:solidFill>
                <a:sysClr val="windowText" lastClr="000000"/>
              </a:solidFill>
            </a:rPr>
            <a:t>L</a:t>
          </a:r>
          <a:r>
            <a:rPr lang="ru-RU" sz="1100" b="0">
              <a:solidFill>
                <a:sysClr val="windowText" lastClr="000000"/>
              </a:solidFill>
            </a:rPr>
            <a:t>дв = </a:t>
          </a:r>
          <a:r>
            <a:rPr lang="en-US" sz="1100" b="0">
              <a:solidFill>
                <a:sysClr val="windowText" lastClr="000000"/>
              </a:solidFill>
            </a:rPr>
            <a:t>L</a:t>
          </a:r>
          <a:r>
            <a:rPr lang="ru-RU" sz="1100" b="0">
              <a:solidFill>
                <a:sysClr val="windowText" lastClr="000000"/>
              </a:solidFill>
            </a:rPr>
            <a:t>пр - 8мм</a:t>
          </a:r>
        </a:p>
      </xdr:txBody>
    </xdr:sp>
    <xdr:clientData/>
  </xdr:twoCellAnchor>
  <xdr:twoCellAnchor editAs="absolute">
    <xdr:from>
      <xdr:col>26</xdr:col>
      <xdr:colOff>238125</xdr:colOff>
      <xdr:row>8</xdr:row>
      <xdr:rowOff>0</xdr:rowOff>
    </xdr:from>
    <xdr:to>
      <xdr:col>31</xdr:col>
      <xdr:colOff>147310</xdr:colOff>
      <xdr:row>22</xdr:row>
      <xdr:rowOff>6024</xdr:rowOff>
    </xdr:to>
    <xdr:grpSp>
      <xdr:nvGrpSpPr>
        <xdr:cNvPr id="22" name="Группа 21">
          <a:extLst>
            <a:ext uri="{FF2B5EF4-FFF2-40B4-BE49-F238E27FC236}">
              <a16:creationId xmlns:a16="http://schemas.microsoft.com/office/drawing/2014/main" id="{4055E9F9-660E-42E3-9E82-ACCC879A48B8}"/>
            </a:ext>
          </a:extLst>
        </xdr:cNvPr>
        <xdr:cNvGrpSpPr/>
      </xdr:nvGrpSpPr>
      <xdr:grpSpPr>
        <a:xfrm>
          <a:off x="13908405" y="1584960"/>
          <a:ext cx="2538085" cy="2779704"/>
          <a:chOff x="11706225" y="933450"/>
          <a:chExt cx="2476853" cy="2662417"/>
        </a:xfrm>
      </xdr:grpSpPr>
      <xdr:sp macro="" textlink="">
        <xdr:nvSpPr>
          <xdr:cNvPr id="23" name="Прямоугольник 22">
            <a:extLst>
              <a:ext uri="{FF2B5EF4-FFF2-40B4-BE49-F238E27FC236}">
                <a16:creationId xmlns:a16="http://schemas.microsoft.com/office/drawing/2014/main" id="{7C35CBED-AE6F-B82F-2151-64224F54DF5F}"/>
              </a:ext>
            </a:extLst>
          </xdr:cNvPr>
          <xdr:cNvSpPr/>
        </xdr:nvSpPr>
        <xdr:spPr>
          <a:xfrm>
            <a:off x="12481560" y="1205865"/>
            <a:ext cx="914400" cy="21336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  <a:p>
            <a:pPr algn="l"/>
            <a:endParaRPr lang="en-US" sz="1100">
              <a:solidFill>
                <a:schemeClr val="tx1"/>
              </a:solidFill>
            </a:endParaRPr>
          </a:p>
          <a:p>
            <a:pPr algn="l"/>
            <a:endParaRPr lang="en-US" sz="1100">
              <a:solidFill>
                <a:schemeClr val="tx1"/>
              </a:solidFill>
            </a:endParaRPr>
          </a:p>
          <a:p>
            <a:pPr algn="l"/>
            <a:endParaRPr lang="en-US" sz="1100">
              <a:solidFill>
                <a:schemeClr val="tx1"/>
              </a:solidFill>
            </a:endParaRPr>
          </a:p>
          <a:p>
            <a:pPr algn="ctr"/>
            <a:r>
              <a:rPr lang="ru-RU" sz="1100">
                <a:solidFill>
                  <a:schemeClr val="tx1"/>
                </a:solidFill>
              </a:rPr>
              <a:t>Фасад</a:t>
            </a:r>
            <a:r>
              <a:rPr lang="ru-RU" sz="1100" baseline="0">
                <a:solidFill>
                  <a:schemeClr val="tx1"/>
                </a:solidFill>
              </a:rPr>
              <a:t>   </a:t>
            </a:r>
            <a:r>
              <a:rPr lang="en-US" sz="1100" baseline="0">
                <a:solidFill>
                  <a:schemeClr val="tx1"/>
                </a:solidFill>
              </a:rPr>
              <a:t>EDGE</a:t>
            </a:r>
            <a:endParaRPr lang="ru-RU" sz="1100">
              <a:solidFill>
                <a:schemeClr val="tx1"/>
              </a:solidFill>
            </a:endParaRPr>
          </a:p>
        </xdr:txBody>
      </xdr: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9E85304D-2CAF-02C2-5B22-C1FB5CD27638}"/>
              </a:ext>
            </a:extLst>
          </xdr:cNvPr>
          <xdr:cNvSpPr txBox="1"/>
        </xdr:nvSpPr>
        <xdr:spPr>
          <a:xfrm>
            <a:off x="11706225" y="2066925"/>
            <a:ext cx="77829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100"/>
              <a:t>сторона</a:t>
            </a:r>
            <a:r>
              <a:rPr lang="ru-RU" sz="1100" baseline="0"/>
              <a:t> А</a:t>
            </a:r>
            <a:endParaRPr lang="ru-RU" sz="1100"/>
          </a:p>
        </xdr:txBody>
      </xdr: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F372DE7B-1672-783B-0F83-B0FE96549D2E}"/>
              </a:ext>
            </a:extLst>
          </xdr:cNvPr>
          <xdr:cNvSpPr txBox="1"/>
        </xdr:nvSpPr>
        <xdr:spPr>
          <a:xfrm>
            <a:off x="12544425" y="933450"/>
            <a:ext cx="77341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100"/>
              <a:t>сторона</a:t>
            </a:r>
            <a:r>
              <a:rPr lang="ru-RU" sz="1100" baseline="0"/>
              <a:t> </a:t>
            </a:r>
            <a:r>
              <a:rPr lang="en-US" sz="1100" baseline="0"/>
              <a:t>B</a:t>
            </a:r>
            <a:endParaRPr lang="ru-RU" sz="1100"/>
          </a:p>
        </xdr:txBody>
      </xdr:sp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9011ABA9-8D0B-7CE5-CD05-78A65F95F658}"/>
              </a:ext>
            </a:extLst>
          </xdr:cNvPr>
          <xdr:cNvSpPr txBox="1"/>
        </xdr:nvSpPr>
        <xdr:spPr>
          <a:xfrm>
            <a:off x="13411200" y="2057400"/>
            <a:ext cx="77187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100"/>
              <a:t>сторона</a:t>
            </a:r>
            <a:r>
              <a:rPr lang="ru-RU" sz="1100" baseline="0"/>
              <a:t> </a:t>
            </a:r>
            <a:r>
              <a:rPr lang="en-US" sz="1100" baseline="0"/>
              <a:t>C</a:t>
            </a:r>
            <a:endParaRPr lang="ru-RU" sz="1100"/>
          </a:p>
        </xdr:txBody>
      </xdr: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DB1BEEDA-BF2E-4126-1F5B-FFB0F1124EA8}"/>
              </a:ext>
            </a:extLst>
          </xdr:cNvPr>
          <xdr:cNvSpPr txBox="1"/>
        </xdr:nvSpPr>
        <xdr:spPr>
          <a:xfrm>
            <a:off x="12592050" y="3331307"/>
            <a:ext cx="78348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100"/>
              <a:t>сторона</a:t>
            </a:r>
            <a:r>
              <a:rPr lang="ru-RU" sz="1100" baseline="0"/>
              <a:t> </a:t>
            </a:r>
            <a:r>
              <a:rPr lang="en-US" sz="1100" baseline="0"/>
              <a:t>D</a:t>
            </a:r>
            <a:endParaRPr lang="ru-RU" sz="1100"/>
          </a:p>
        </xdr:txBody>
      </xdr:sp>
    </xdr:grpSp>
    <xdr:clientData/>
  </xdr:twoCellAnchor>
  <xdr:twoCellAnchor editAs="absolute">
    <xdr:from>
      <xdr:col>26</xdr:col>
      <xdr:colOff>287655</xdr:colOff>
      <xdr:row>53</xdr:row>
      <xdr:rowOff>66675</xdr:rowOff>
    </xdr:from>
    <xdr:to>
      <xdr:col>52</xdr:col>
      <xdr:colOff>374158</xdr:colOff>
      <xdr:row>75</xdr:row>
      <xdr:rowOff>4489</xdr:rowOff>
    </xdr:to>
    <xdr:grpSp>
      <xdr:nvGrpSpPr>
        <xdr:cNvPr id="39" name="Группа 38">
          <a:extLst>
            <a:ext uri="{FF2B5EF4-FFF2-40B4-BE49-F238E27FC236}">
              <a16:creationId xmlns:a16="http://schemas.microsoft.com/office/drawing/2014/main" id="{1520F50F-12ED-6DAD-4D60-A094C8C1139D}"/>
            </a:ext>
          </a:extLst>
        </xdr:cNvPr>
        <xdr:cNvGrpSpPr/>
      </xdr:nvGrpSpPr>
      <xdr:grpSpPr>
        <a:xfrm>
          <a:off x="13957935" y="10567035"/>
          <a:ext cx="3766963" cy="4296454"/>
          <a:chOff x="18023205" y="2600325"/>
          <a:chExt cx="3686953" cy="4338364"/>
        </a:xfrm>
      </xdr:grpSpPr>
      <xdr:grpSp>
        <xdr:nvGrpSpPr>
          <xdr:cNvPr id="38" name="Группа 37">
            <a:extLst>
              <a:ext uri="{FF2B5EF4-FFF2-40B4-BE49-F238E27FC236}">
                <a16:creationId xmlns:a16="http://schemas.microsoft.com/office/drawing/2014/main" id="{CB13FA0D-3019-498D-8F45-55FDD3397A1A}"/>
              </a:ext>
            </a:extLst>
          </xdr:cNvPr>
          <xdr:cNvGrpSpPr/>
        </xdr:nvGrpSpPr>
        <xdr:grpSpPr>
          <a:xfrm>
            <a:off x="18023205" y="2904004"/>
            <a:ext cx="3686953" cy="4034685"/>
            <a:chOff x="17632680" y="2361079"/>
            <a:chExt cx="3686953" cy="4034685"/>
          </a:xfrm>
        </xdr:grpSpPr>
        <xdr:pic>
          <xdr:nvPicPr>
            <xdr:cNvPr id="18" name="Рисунок 17">
              <a:extLst>
                <a:ext uri="{FF2B5EF4-FFF2-40B4-BE49-F238E27FC236}">
                  <a16:creationId xmlns:a16="http://schemas.microsoft.com/office/drawing/2014/main" id="{5229477C-6163-427D-9C2D-35B4B0FDF23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162994" y="2361079"/>
              <a:ext cx="2156639" cy="3994674"/>
            </a:xfrm>
            <a:prstGeom prst="rect">
              <a:avLst/>
            </a:prstGeom>
          </xdr:spPr>
        </xdr:pic>
        <xdr:pic>
          <xdr:nvPicPr>
            <xdr:cNvPr id="19" name="Рисунок 18">
              <a:extLst>
                <a:ext uri="{FF2B5EF4-FFF2-40B4-BE49-F238E27FC236}">
                  <a16:creationId xmlns:a16="http://schemas.microsoft.com/office/drawing/2014/main" id="{06B6EFCE-4AB1-47B0-ADAE-912F80C016D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7632680" y="2361079"/>
              <a:ext cx="1353668" cy="4034685"/>
            </a:xfrm>
            <a:prstGeom prst="rect">
              <a:avLst/>
            </a:prstGeom>
          </xdr:spPr>
        </xdr:pic>
      </xdr:grpSp>
      <xdr:sp macro="" textlink="">
        <xdr:nvSpPr>
          <xdr:cNvPr id="37" name="TextBox 36">
            <a:extLst>
              <a:ext uri="{FF2B5EF4-FFF2-40B4-BE49-F238E27FC236}">
                <a16:creationId xmlns:a16="http://schemas.microsoft.com/office/drawing/2014/main" id="{5CAE5E8B-5C7B-D5A8-9F1B-A5C85B666572}"/>
              </a:ext>
            </a:extLst>
          </xdr:cNvPr>
          <xdr:cNvSpPr txBox="1"/>
        </xdr:nvSpPr>
        <xdr:spPr>
          <a:xfrm>
            <a:off x="19059633" y="2600325"/>
            <a:ext cx="1614096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100" i="1"/>
              <a:t>расчет ширины дверей</a:t>
            </a:r>
          </a:p>
        </xdr:txBody>
      </xdr:sp>
    </xdr:grpSp>
    <xdr:clientData/>
  </xdr:twoCellAnchor>
  <xdr:twoCellAnchor editAs="absolute">
    <xdr:from>
      <xdr:col>26</xdr:col>
      <xdr:colOff>200025</xdr:colOff>
      <xdr:row>27</xdr:row>
      <xdr:rowOff>76200</xdr:rowOff>
    </xdr:from>
    <xdr:to>
      <xdr:col>31</xdr:col>
      <xdr:colOff>463025</xdr:colOff>
      <xdr:row>52</xdr:row>
      <xdr:rowOff>197855</xdr:rowOff>
    </xdr:to>
    <xdr:grpSp>
      <xdr:nvGrpSpPr>
        <xdr:cNvPr id="41" name="Группа 40">
          <a:extLst>
            <a:ext uri="{FF2B5EF4-FFF2-40B4-BE49-F238E27FC236}">
              <a16:creationId xmlns:a16="http://schemas.microsoft.com/office/drawing/2014/main" id="{D18BA4CF-9EF0-630C-FB7F-4655DE0E070D}"/>
            </a:ext>
          </a:extLst>
        </xdr:cNvPr>
        <xdr:cNvGrpSpPr/>
      </xdr:nvGrpSpPr>
      <xdr:grpSpPr>
        <a:xfrm>
          <a:off x="13870305" y="5425440"/>
          <a:ext cx="2891900" cy="5074655"/>
          <a:chOff x="14820900" y="1924050"/>
          <a:chExt cx="2834750" cy="5122280"/>
        </a:xfrm>
      </xdr:grpSpPr>
      <xdr:grpSp>
        <xdr:nvGrpSpPr>
          <xdr:cNvPr id="34" name="Группа 33">
            <a:extLst>
              <a:ext uri="{FF2B5EF4-FFF2-40B4-BE49-F238E27FC236}">
                <a16:creationId xmlns:a16="http://schemas.microsoft.com/office/drawing/2014/main" id="{02B47C3F-3320-0DF7-EA78-62F11861D9E1}"/>
              </a:ext>
            </a:extLst>
          </xdr:cNvPr>
          <xdr:cNvGrpSpPr/>
        </xdr:nvGrpSpPr>
        <xdr:grpSpPr>
          <a:xfrm>
            <a:off x="14857325" y="2247900"/>
            <a:ext cx="2761900" cy="2268616"/>
            <a:chOff x="14777085" y="2162175"/>
            <a:chExt cx="2761900" cy="2268616"/>
          </a:xfrm>
        </xdr:grpSpPr>
        <xdr:pic>
          <xdr:nvPicPr>
            <xdr:cNvPr id="10" name="Рисунок 9">
              <a:extLst>
                <a:ext uri="{FF2B5EF4-FFF2-40B4-BE49-F238E27FC236}">
                  <a16:creationId xmlns:a16="http://schemas.microsoft.com/office/drawing/2014/main" id="{6898DCF1-FFF0-4CF4-A607-610F01309D8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777085" y="2459355"/>
              <a:ext cx="2761900" cy="1971436"/>
            </a:xfrm>
            <a:prstGeom prst="rect">
              <a:avLst/>
            </a:prstGeom>
          </xdr:spPr>
        </xdr:pic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EF53BBD7-1B54-64F2-EC18-7FD9D24850AF}"/>
                </a:ext>
              </a:extLst>
            </xdr:cNvPr>
            <xdr:cNvSpPr txBox="1"/>
          </xdr:nvSpPr>
          <xdr:spPr>
            <a:xfrm>
              <a:off x="15687201" y="2162175"/>
              <a:ext cx="94166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ru-RU" sz="1100" i="1"/>
                <a:t>вид спереди</a:t>
              </a:r>
            </a:p>
          </xdr:txBody>
        </xdr:sp>
      </xdr:grpSp>
      <xdr:grpSp>
        <xdr:nvGrpSpPr>
          <xdr:cNvPr id="36" name="Группа 35">
            <a:extLst>
              <a:ext uri="{FF2B5EF4-FFF2-40B4-BE49-F238E27FC236}">
                <a16:creationId xmlns:a16="http://schemas.microsoft.com/office/drawing/2014/main" id="{3C96D74B-9617-AAC9-C436-9F8DA0302AC6}"/>
              </a:ext>
            </a:extLst>
          </xdr:cNvPr>
          <xdr:cNvGrpSpPr/>
        </xdr:nvGrpSpPr>
        <xdr:grpSpPr>
          <a:xfrm>
            <a:off x="15014466" y="4638675"/>
            <a:ext cx="2447619" cy="2407655"/>
            <a:chOff x="11654790" y="4705350"/>
            <a:chExt cx="2447619" cy="2407655"/>
          </a:xfrm>
        </xdr:grpSpPr>
        <xdr:pic>
          <xdr:nvPicPr>
            <xdr:cNvPr id="6" name="Рисунок 5">
              <a:extLst>
                <a:ext uri="{FF2B5EF4-FFF2-40B4-BE49-F238E27FC236}">
                  <a16:creationId xmlns:a16="http://schemas.microsoft.com/office/drawing/2014/main" id="{C4AD3330-8F15-4C8A-A107-281CD2340A1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1654790" y="4912995"/>
              <a:ext cx="2447619" cy="2200010"/>
            </a:xfrm>
            <a:prstGeom prst="rect">
              <a:avLst/>
            </a:prstGeom>
          </xdr:spPr>
        </xdr:pic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D0F51D96-FD75-D16A-76E8-A225B0EA7497}"/>
                </a:ext>
              </a:extLst>
            </xdr:cNvPr>
            <xdr:cNvSpPr txBox="1"/>
          </xdr:nvSpPr>
          <xdr:spPr>
            <a:xfrm>
              <a:off x="12460793" y="4705350"/>
              <a:ext cx="835613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ru-RU" sz="1100" i="1"/>
                <a:t>вид сверху</a:t>
              </a:r>
            </a:p>
          </xdr:txBody>
        </xdr:sp>
      </xdr:grpSp>
      <xdr:sp macro="" textlink="">
        <xdr:nvSpPr>
          <xdr:cNvPr id="40" name="TextBox 39">
            <a:extLst>
              <a:ext uri="{FF2B5EF4-FFF2-40B4-BE49-F238E27FC236}">
                <a16:creationId xmlns:a16="http://schemas.microsoft.com/office/drawing/2014/main" id="{920D644E-080A-02AE-6D60-5EA43E9725CA}"/>
              </a:ext>
            </a:extLst>
          </xdr:cNvPr>
          <xdr:cNvSpPr txBox="1"/>
        </xdr:nvSpPr>
        <xdr:spPr>
          <a:xfrm>
            <a:off x="14820900" y="1924050"/>
            <a:ext cx="283475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100" i="1"/>
              <a:t>Чертеж фрезеровки под петлю на корпусе</a:t>
            </a:r>
          </a:p>
        </xdr:txBody>
      </xdr:sp>
    </xdr:grpSp>
    <xdr:clientData/>
  </xdr:twoCellAnchor>
  <xdr:twoCellAnchor editAs="absolute">
    <xdr:from>
      <xdr:col>0</xdr:col>
      <xdr:colOff>0</xdr:colOff>
      <xdr:row>0</xdr:row>
      <xdr:rowOff>38100</xdr:rowOff>
    </xdr:from>
    <xdr:to>
      <xdr:col>2</xdr:col>
      <xdr:colOff>501146</xdr:colOff>
      <xdr:row>3</xdr:row>
      <xdr:rowOff>172570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A4A68C85-AC36-43F1-A3C8-8D3D10F0B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29846" cy="734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33617</xdr:rowOff>
    </xdr:from>
    <xdr:to>
      <xdr:col>2</xdr:col>
      <xdr:colOff>501146</xdr:colOff>
      <xdr:row>3</xdr:row>
      <xdr:rowOff>168087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FB76041-D02D-47AD-93BE-485FBD9E7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17"/>
          <a:ext cx="1532087" cy="73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2012156</xdr:colOff>
      <xdr:row>225</xdr:row>
      <xdr:rowOff>446484</xdr:rowOff>
    </xdr:from>
    <xdr:to>
      <xdr:col>29</xdr:col>
      <xdr:colOff>2172890</xdr:colOff>
      <xdr:row>225</xdr:row>
      <xdr:rowOff>1410891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83CD1FAC-BBFB-426F-8FF9-10AF5CC1CB2E}"/>
            </a:ext>
          </a:extLst>
        </xdr:cNvPr>
        <xdr:cNvSpPr/>
      </xdr:nvSpPr>
      <xdr:spPr>
        <a:xfrm>
          <a:off x="33939956" y="17420034"/>
          <a:ext cx="0" cy="238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26</xdr:col>
      <xdr:colOff>48986</xdr:colOff>
      <xdr:row>5</xdr:row>
      <xdr:rowOff>19050</xdr:rowOff>
    </xdr:from>
    <xdr:to>
      <xdr:col>30</xdr:col>
      <xdr:colOff>472521</xdr:colOff>
      <xdr:row>18</xdr:row>
      <xdr:rowOff>177474</xdr:rowOff>
    </xdr:to>
    <xdr:grpSp>
      <xdr:nvGrpSpPr>
        <xdr:cNvPr id="15" name="Группа 14">
          <a:extLst>
            <a:ext uri="{FF2B5EF4-FFF2-40B4-BE49-F238E27FC236}">
              <a16:creationId xmlns:a16="http://schemas.microsoft.com/office/drawing/2014/main" id="{C9A1C861-FAC9-49B9-A802-C190D9D60831}"/>
            </a:ext>
          </a:extLst>
        </xdr:cNvPr>
        <xdr:cNvGrpSpPr/>
      </xdr:nvGrpSpPr>
      <xdr:grpSpPr>
        <a:xfrm>
          <a:off x="13719266" y="1009650"/>
          <a:ext cx="2526655" cy="2733984"/>
          <a:chOff x="11706225" y="933450"/>
          <a:chExt cx="2476853" cy="2617235"/>
        </a:xfrm>
      </xdr:grpSpPr>
      <xdr:sp macro="" textlink="">
        <xdr:nvSpPr>
          <xdr:cNvPr id="5" name="Прямоугольник 4">
            <a:extLst>
              <a:ext uri="{FF2B5EF4-FFF2-40B4-BE49-F238E27FC236}">
                <a16:creationId xmlns:a16="http://schemas.microsoft.com/office/drawing/2014/main" id="{1C9F03D5-8697-4624-9B65-FDD776A18C65}"/>
              </a:ext>
            </a:extLst>
          </xdr:cNvPr>
          <xdr:cNvSpPr/>
        </xdr:nvSpPr>
        <xdr:spPr>
          <a:xfrm>
            <a:off x="12481560" y="1205865"/>
            <a:ext cx="914400" cy="21336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  <a:p>
            <a:pPr algn="l"/>
            <a:endParaRPr lang="en-US" sz="1100">
              <a:solidFill>
                <a:schemeClr val="tx1"/>
              </a:solidFill>
            </a:endParaRPr>
          </a:p>
          <a:p>
            <a:pPr algn="l"/>
            <a:endParaRPr lang="en-US" sz="1100">
              <a:solidFill>
                <a:schemeClr val="tx1"/>
              </a:solidFill>
            </a:endParaRPr>
          </a:p>
          <a:p>
            <a:pPr algn="l"/>
            <a:endParaRPr lang="en-US" sz="1100">
              <a:solidFill>
                <a:schemeClr val="tx1"/>
              </a:solidFill>
            </a:endParaRPr>
          </a:p>
          <a:p>
            <a:pPr algn="ctr"/>
            <a:r>
              <a:rPr lang="ru-RU" sz="1100">
                <a:solidFill>
                  <a:schemeClr val="tx1"/>
                </a:solidFill>
              </a:rPr>
              <a:t>Фасад</a:t>
            </a:r>
            <a:r>
              <a:rPr lang="ru-RU" sz="1100" baseline="0">
                <a:solidFill>
                  <a:schemeClr val="tx1"/>
                </a:solidFill>
              </a:rPr>
              <a:t>   </a:t>
            </a:r>
            <a:r>
              <a:rPr lang="en-US" sz="1100" baseline="0">
                <a:solidFill>
                  <a:schemeClr val="tx1"/>
                </a:solidFill>
              </a:rPr>
              <a:t>EDGE MAX</a:t>
            </a:r>
            <a:endParaRPr lang="ru-RU" sz="1100">
              <a:solidFill>
                <a:schemeClr val="tx1"/>
              </a:solidFill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FC55E609-848B-42AE-B458-603F173E3EBB}"/>
              </a:ext>
            </a:extLst>
          </xdr:cNvPr>
          <xdr:cNvSpPr txBox="1"/>
        </xdr:nvSpPr>
        <xdr:spPr>
          <a:xfrm>
            <a:off x="11706225" y="2066925"/>
            <a:ext cx="77829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100"/>
              <a:t>сторона</a:t>
            </a:r>
            <a:r>
              <a:rPr lang="ru-RU" sz="1100" baseline="0"/>
              <a:t> А</a:t>
            </a:r>
            <a:endParaRPr lang="ru-RU" sz="110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967D6B74-DD81-4A9A-A560-6E69DA9464BD}"/>
              </a:ext>
            </a:extLst>
          </xdr:cNvPr>
          <xdr:cNvSpPr txBox="1"/>
        </xdr:nvSpPr>
        <xdr:spPr>
          <a:xfrm>
            <a:off x="12544425" y="933450"/>
            <a:ext cx="77341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100"/>
              <a:t>сторона</a:t>
            </a:r>
            <a:r>
              <a:rPr lang="ru-RU" sz="1100" baseline="0"/>
              <a:t> </a:t>
            </a:r>
            <a:r>
              <a:rPr lang="en-US" sz="1100" baseline="0"/>
              <a:t>B</a:t>
            </a:r>
            <a:endParaRPr lang="ru-RU" sz="1100"/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39EFD1E8-68AB-4ECD-B215-857432E9E6AF}"/>
              </a:ext>
            </a:extLst>
          </xdr:cNvPr>
          <xdr:cNvSpPr txBox="1"/>
        </xdr:nvSpPr>
        <xdr:spPr>
          <a:xfrm>
            <a:off x="13411200" y="2057400"/>
            <a:ext cx="77187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100"/>
              <a:t>сторона</a:t>
            </a:r>
            <a:r>
              <a:rPr lang="ru-RU" sz="1100" baseline="0"/>
              <a:t> </a:t>
            </a:r>
            <a:r>
              <a:rPr lang="en-US" sz="1100" baseline="0"/>
              <a:t>C</a:t>
            </a:r>
            <a:endParaRPr lang="ru-RU" sz="1100"/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9309C8EA-F747-4C98-A008-411C6A9EDB7D}"/>
              </a:ext>
            </a:extLst>
          </xdr:cNvPr>
          <xdr:cNvSpPr txBox="1"/>
        </xdr:nvSpPr>
        <xdr:spPr>
          <a:xfrm>
            <a:off x="12592050" y="3286125"/>
            <a:ext cx="78348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100"/>
              <a:t>сторона</a:t>
            </a:r>
            <a:r>
              <a:rPr lang="ru-RU" sz="1100" baseline="0"/>
              <a:t> </a:t>
            </a:r>
            <a:r>
              <a:rPr lang="en-US" sz="1100" baseline="0"/>
              <a:t>D</a:t>
            </a:r>
            <a:endParaRPr lang="ru-RU" sz="1100"/>
          </a:p>
        </xdr:txBody>
      </xdr:sp>
    </xdr:grpSp>
    <xdr:clientData/>
  </xdr:twoCellAnchor>
  <xdr:twoCellAnchor editAs="absolute">
    <xdr:from>
      <xdr:col>26</xdr:col>
      <xdr:colOff>344654</xdr:colOff>
      <xdr:row>18</xdr:row>
      <xdr:rowOff>112037</xdr:rowOff>
    </xdr:from>
    <xdr:to>
      <xdr:col>30</xdr:col>
      <xdr:colOff>266700</xdr:colOff>
      <xdr:row>23</xdr:row>
      <xdr:rowOff>174631</xdr:rowOff>
    </xdr:to>
    <xdr:grpSp>
      <xdr:nvGrpSpPr>
        <xdr:cNvPr id="12" name="Группа 11">
          <a:extLst>
            <a:ext uri="{FF2B5EF4-FFF2-40B4-BE49-F238E27FC236}">
              <a16:creationId xmlns:a16="http://schemas.microsoft.com/office/drawing/2014/main" id="{AD6CB506-F765-40C9-9D92-C9F75748F67C}"/>
            </a:ext>
          </a:extLst>
        </xdr:cNvPr>
        <xdr:cNvGrpSpPr/>
      </xdr:nvGrpSpPr>
      <xdr:grpSpPr>
        <a:xfrm>
          <a:off x="14014934" y="3678197"/>
          <a:ext cx="2025166" cy="1053194"/>
          <a:chOff x="11768283" y="3771899"/>
          <a:chExt cx="1981200" cy="900324"/>
        </a:xfrm>
      </xdr:grpSpPr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12E18C5E-7B55-9B34-99F4-9C35C75C9E0F}"/>
              </a:ext>
            </a:extLst>
          </xdr:cNvPr>
          <xdr:cNvSpPr txBox="1"/>
        </xdr:nvSpPr>
        <xdr:spPr>
          <a:xfrm>
            <a:off x="11768283" y="3771899"/>
            <a:ext cx="1981200" cy="70665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1100" b="1">
                <a:solidFill>
                  <a:srgbClr val="0070C0"/>
                </a:solidFill>
              </a:rPr>
              <a:t>При</a:t>
            </a:r>
            <a:r>
              <a:rPr lang="ru-RU" sz="1100" b="1" baseline="0">
                <a:solidFill>
                  <a:srgbClr val="0070C0"/>
                </a:solidFill>
              </a:rPr>
              <a:t> необходимости расчета без вставок, оставьте ячейку "наполнение" пустой</a:t>
            </a:r>
            <a:endParaRPr lang="ru-RU" sz="1100" b="1">
              <a:solidFill>
                <a:srgbClr val="0070C0"/>
              </a:solidFill>
            </a:endParaRPr>
          </a:p>
        </xdr:txBody>
      </xdr:sp>
      <xdr:pic>
        <xdr:nvPicPr>
          <xdr:cNvPr id="13" name="Рисунок 12">
            <a:extLst>
              <a:ext uri="{FF2B5EF4-FFF2-40B4-BE49-F238E27FC236}">
                <a16:creationId xmlns:a16="http://schemas.microsoft.com/office/drawing/2014/main" id="{8EFEE5A1-EF9E-5C4E-B225-72AC704638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2000282" y="4319191"/>
            <a:ext cx="1431739" cy="353032"/>
          </a:xfrm>
          <a:prstGeom prst="rect">
            <a:avLst/>
          </a:prstGeom>
          <a:ln>
            <a:noFill/>
          </a:ln>
        </xdr:spPr>
      </xdr:pic>
    </xdr:grpSp>
    <xdr:clientData fPrintsWithSheet="0"/>
  </xdr:twoCellAnchor>
  <xdr:twoCellAnchor>
    <xdr:from>
      <xdr:col>26</xdr:col>
      <xdr:colOff>89807</xdr:colOff>
      <xdr:row>0</xdr:row>
      <xdr:rowOff>20411</xdr:rowOff>
    </xdr:from>
    <xdr:to>
      <xdr:col>32</xdr:col>
      <xdr:colOff>238124</xdr:colOff>
      <xdr:row>5</xdr:row>
      <xdr:rowOff>77561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682B5D8-B973-4A2F-8D89-170B693BB2D0}"/>
            </a:ext>
          </a:extLst>
        </xdr:cNvPr>
        <xdr:cNvSpPr txBox="1"/>
      </xdr:nvSpPr>
      <xdr:spPr>
        <a:xfrm>
          <a:off x="13462907" y="20411"/>
          <a:ext cx="3234417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400" b="1">
              <a:solidFill>
                <a:srgbClr val="FF0000"/>
              </a:solidFill>
            </a:rPr>
            <a:t>Технические описания и ограничения</a:t>
          </a:r>
          <a:endParaRPr lang="en-US" sz="1400" b="1">
            <a:solidFill>
              <a:srgbClr val="FF0000"/>
            </a:solidFill>
          </a:endParaRPr>
        </a:p>
        <a:p>
          <a:r>
            <a:rPr lang="ru-RU" sz="1100"/>
            <a:t>Высота дверей до 2600 мм</a:t>
          </a:r>
          <a:endParaRPr lang="en-US" sz="1100"/>
        </a:p>
        <a:p>
          <a:r>
            <a:rPr lang="ru-RU" sz="1100"/>
            <a:t>Ширина дверей от 300 мм до 600мм</a:t>
          </a:r>
          <a:endParaRPr lang="en-US" sz="1100"/>
        </a:p>
        <a:p>
          <a:r>
            <a:rPr lang="ru-RU" sz="1100"/>
            <a:t>Вес дверей до 30 кг</a:t>
          </a:r>
          <a:br>
            <a:rPr lang="en-US" sz="1100"/>
          </a:br>
          <a:r>
            <a:rPr lang="ru-RU" sz="1100"/>
            <a:t>Наполнение только : стекло/зеркало 4мм</a:t>
          </a:r>
        </a:p>
      </xdr:txBody>
    </xdr:sp>
    <xdr:clientData/>
  </xdr:twoCellAnchor>
  <xdr:twoCellAnchor editAs="absolute">
    <xdr:from>
      <xdr:col>26</xdr:col>
      <xdr:colOff>159204</xdr:colOff>
      <xdr:row>24</xdr:row>
      <xdr:rowOff>65315</xdr:rowOff>
    </xdr:from>
    <xdr:to>
      <xdr:col>31</xdr:col>
      <xdr:colOff>317545</xdr:colOff>
      <xdr:row>53</xdr:row>
      <xdr:rowOff>95415</xdr:rowOff>
    </xdr:to>
    <xdr:grpSp>
      <xdr:nvGrpSpPr>
        <xdr:cNvPr id="20" name="Группа 19">
          <a:extLst>
            <a:ext uri="{FF2B5EF4-FFF2-40B4-BE49-F238E27FC236}">
              <a16:creationId xmlns:a16="http://schemas.microsoft.com/office/drawing/2014/main" id="{F5824ACE-9F9F-4711-BAD9-293C96E761E2}"/>
            </a:ext>
          </a:extLst>
        </xdr:cNvPr>
        <xdr:cNvGrpSpPr/>
      </xdr:nvGrpSpPr>
      <xdr:grpSpPr>
        <a:xfrm>
          <a:off x="13829484" y="4820195"/>
          <a:ext cx="2787241" cy="5775580"/>
          <a:chOff x="14658975" y="1847850"/>
          <a:chExt cx="2731453" cy="4964050"/>
        </a:xfrm>
      </xdr:grpSpPr>
      <xdr:pic>
        <xdr:nvPicPr>
          <xdr:cNvPr id="10" name="Рисунок 9">
            <a:extLst>
              <a:ext uri="{FF2B5EF4-FFF2-40B4-BE49-F238E27FC236}">
                <a16:creationId xmlns:a16="http://schemas.microsoft.com/office/drawing/2014/main" id="{EE26FBD3-D5D5-4041-B666-97E528CACB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4862651" y="2364106"/>
            <a:ext cx="2324100" cy="2013954"/>
          </a:xfrm>
          <a:prstGeom prst="rect">
            <a:avLst/>
          </a:prstGeom>
        </xdr:spPr>
      </xdr:pic>
      <xdr:pic>
        <xdr:nvPicPr>
          <xdr:cNvPr id="11" name="Рисунок 10">
            <a:extLst>
              <a:ext uri="{FF2B5EF4-FFF2-40B4-BE49-F238E27FC236}">
                <a16:creationId xmlns:a16="http://schemas.microsoft.com/office/drawing/2014/main" id="{E70AD43B-1AF2-4944-9303-49E6C8EBED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4794071" y="4745356"/>
            <a:ext cx="2461260" cy="2066544"/>
          </a:xfrm>
          <a:prstGeom prst="rect">
            <a:avLst/>
          </a:prstGeom>
        </xdr:spPr>
      </xdr:pic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D28547AB-237A-4F54-A523-099333FE2E7D}"/>
              </a:ext>
            </a:extLst>
          </xdr:cNvPr>
          <xdr:cNvSpPr txBox="1"/>
        </xdr:nvSpPr>
        <xdr:spPr>
          <a:xfrm>
            <a:off x="15532964" y="2047875"/>
            <a:ext cx="98347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200" i="1"/>
              <a:t>вид спереди</a:t>
            </a:r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A4344D3B-03D6-4F12-84D7-D47505575E79}"/>
              </a:ext>
            </a:extLst>
          </xdr:cNvPr>
          <xdr:cNvSpPr txBox="1"/>
        </xdr:nvSpPr>
        <xdr:spPr>
          <a:xfrm>
            <a:off x="15585190" y="4371975"/>
            <a:ext cx="879023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200" i="1"/>
              <a:t>вид сверху</a:t>
            </a: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53BD4529-BA7D-4BED-BB86-78E492DBEB2E}"/>
              </a:ext>
            </a:extLst>
          </xdr:cNvPr>
          <xdr:cNvSpPr txBox="1"/>
        </xdr:nvSpPr>
        <xdr:spPr>
          <a:xfrm>
            <a:off x="14658975" y="1847850"/>
            <a:ext cx="273145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100"/>
              <a:t>Чертеж фрезеровки под петлю на корпусе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588753</xdr:colOff>
      <xdr:row>0</xdr:row>
      <xdr:rowOff>95836</xdr:rowOff>
    </xdr:from>
    <xdr:to>
      <xdr:col>2</xdr:col>
      <xdr:colOff>399829</xdr:colOff>
      <xdr:row>3</xdr:row>
      <xdr:rowOff>55658</xdr:rowOff>
    </xdr:to>
    <xdr:pic>
      <xdr:nvPicPr>
        <xdr:cNvPr id="16" name="Рисунок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906" y="80596"/>
          <a:ext cx="1152859" cy="55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202407</xdr:colOff>
      <xdr:row>23</xdr:row>
      <xdr:rowOff>28942</xdr:rowOff>
    </xdr:from>
    <xdr:to>
      <xdr:col>3</xdr:col>
      <xdr:colOff>303609</xdr:colOff>
      <xdr:row>23</xdr:row>
      <xdr:rowOff>130191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09536" y="4628156"/>
          <a:ext cx="101202" cy="108869"/>
        </a:xfrm>
        <a:prstGeom prst="rect">
          <a:avLst/>
        </a:prstGeom>
      </xdr:spPr>
    </xdr:pic>
    <xdr:clientData/>
  </xdr:twoCellAnchor>
  <xdr:twoCellAnchor editAs="oneCell">
    <xdr:from>
      <xdr:col>3</xdr:col>
      <xdr:colOff>747405</xdr:colOff>
      <xdr:row>21</xdr:row>
      <xdr:rowOff>83698</xdr:rowOff>
    </xdr:from>
    <xdr:to>
      <xdr:col>3</xdr:col>
      <xdr:colOff>854322</xdr:colOff>
      <xdr:row>22</xdr:row>
      <xdr:rowOff>2067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4534" y="4301912"/>
          <a:ext cx="101202" cy="108869"/>
        </a:xfrm>
        <a:prstGeom prst="rect">
          <a:avLst/>
        </a:prstGeom>
      </xdr:spPr>
    </xdr:pic>
    <xdr:clientData/>
  </xdr:twoCellAnchor>
  <xdr:twoCellAnchor>
    <xdr:from>
      <xdr:col>6</xdr:col>
      <xdr:colOff>75999</xdr:colOff>
      <xdr:row>15</xdr:row>
      <xdr:rowOff>85720</xdr:rowOff>
    </xdr:from>
    <xdr:to>
      <xdr:col>6</xdr:col>
      <xdr:colOff>1394459</xdr:colOff>
      <xdr:row>18</xdr:row>
      <xdr:rowOff>21018</xdr:rowOff>
    </xdr:to>
    <xdr:grpSp>
      <xdr:nvGrpSpPr>
        <xdr:cNvPr id="42" name="Группа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pSpPr/>
      </xdr:nvGrpSpPr>
      <xdr:grpSpPr>
        <a:xfrm>
          <a:off x="5821479" y="3263260"/>
          <a:ext cx="1318460" cy="514418"/>
          <a:chOff x="6395406" y="3297555"/>
          <a:chExt cx="1551778" cy="654798"/>
        </a:xfrm>
      </xdr:grpSpPr>
      <xdr:sp macro="" textlink="">
        <xdr:nvSpPr>
          <xdr:cNvPr id="20" name="Куб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/>
        </xdr:nvSpPr>
        <xdr:spPr>
          <a:xfrm>
            <a:off x="6427233" y="3297555"/>
            <a:ext cx="1519951" cy="392907"/>
          </a:xfrm>
          <a:prstGeom prst="cube">
            <a:avLst>
              <a:gd name="adj" fmla="val 11364"/>
            </a:avLst>
          </a:prstGeom>
          <a:solidFill>
            <a:schemeClr val="bg1">
              <a:lumMod val="85000"/>
            </a:schemeClr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21" name="Кольцо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/>
        </xdr:nvSpPr>
        <xdr:spPr>
          <a:xfrm>
            <a:off x="6611778" y="3458290"/>
            <a:ext cx="119063" cy="119062"/>
          </a:xfrm>
          <a:prstGeom prst="donut">
            <a:avLst/>
          </a:prstGeom>
          <a:solidFill>
            <a:schemeClr val="tx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Кольцо 2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/>
        </xdr:nvSpPr>
        <xdr:spPr>
          <a:xfrm>
            <a:off x="7558326" y="3456146"/>
            <a:ext cx="120968" cy="119062"/>
          </a:xfrm>
          <a:prstGeom prst="donut">
            <a:avLst/>
          </a:prstGeom>
          <a:solidFill>
            <a:schemeClr val="tx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>
              <a:solidFill>
                <a:schemeClr val="tx1"/>
              </a:solidFill>
            </a:endParaRPr>
          </a:p>
        </xdr:txBody>
      </xdr: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 txBox="1"/>
        </xdr:nvSpPr>
        <xdr:spPr>
          <a:xfrm>
            <a:off x="6395406" y="3682035"/>
            <a:ext cx="24949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 b="1"/>
              <a:t>x</a:t>
            </a:r>
            <a:endParaRPr lang="ru-RU" sz="1100" b="1"/>
          </a:p>
        </xdr:txBody>
      </xdr:sp>
      <xdr:cxnSp macro="">
        <xdr:nvCxnSpPr>
          <xdr:cNvPr id="29" name="Прямая соединительная линия 28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CxnSpPr/>
        </xdr:nvCxnSpPr>
        <xdr:spPr>
          <a:xfrm>
            <a:off x="6675120" y="3589020"/>
            <a:ext cx="0" cy="3238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Прямая соединительная линия 32"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CxnSpPr/>
        </xdr:nvCxnSpPr>
        <xdr:spPr>
          <a:xfrm>
            <a:off x="6431280" y="3581400"/>
            <a:ext cx="0" cy="3238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Прямая со стрелкой 34"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CxnSpPr/>
        </xdr:nvCxnSpPr>
        <xdr:spPr>
          <a:xfrm flipV="1">
            <a:off x="6404610" y="3943434"/>
            <a:ext cx="289560" cy="2741"/>
          </a:xfrm>
          <a:prstGeom prst="straightConnector1">
            <a:avLst/>
          </a:prstGeom>
          <a:ln w="0">
            <a:headEnd type="stealth" w="sm" len="sm"/>
            <a:tailEnd type="stealth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TextBox 37">
            <a:extLst>
              <a:ext uri="{FF2B5EF4-FFF2-40B4-BE49-F238E27FC236}">
                <a16:creationId xmlns:a16="http://schemas.microsoft.com/office/drawing/2014/main" id="{00000000-0008-0000-0400-000026000000}"/>
              </a:ext>
            </a:extLst>
          </xdr:cNvPr>
          <xdr:cNvSpPr txBox="1"/>
        </xdr:nvSpPr>
        <xdr:spPr>
          <a:xfrm>
            <a:off x="7624249" y="3668686"/>
            <a:ext cx="24949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 b="1"/>
              <a:t>x</a:t>
            </a:r>
            <a:endParaRPr lang="ru-RU" sz="1100" b="1"/>
          </a:p>
        </xdr:txBody>
      </xdr:sp>
      <xdr:cxnSp macro="">
        <xdr:nvCxnSpPr>
          <xdr:cNvPr id="39" name="Прямая соединительная линия 38"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CxnSpPr/>
        </xdr:nvCxnSpPr>
        <xdr:spPr>
          <a:xfrm>
            <a:off x="7901940" y="3582008"/>
            <a:ext cx="0" cy="3238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Прямая соединительная линия 39">
            <a:extLs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CxnSpPr/>
        </xdr:nvCxnSpPr>
        <xdr:spPr>
          <a:xfrm>
            <a:off x="7623810" y="3577590"/>
            <a:ext cx="0" cy="3238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Прямая со стрелкой 40">
            <a:extLst>
              <a:ext uri="{FF2B5EF4-FFF2-40B4-BE49-F238E27FC236}">
                <a16:creationId xmlns:a16="http://schemas.microsoft.com/office/drawing/2014/main" id="{00000000-0008-0000-0400-000029000000}"/>
              </a:ext>
            </a:extLst>
          </xdr:cNvPr>
          <xdr:cNvCxnSpPr/>
        </xdr:nvCxnSpPr>
        <xdr:spPr>
          <a:xfrm flipV="1">
            <a:off x="7617404" y="3949612"/>
            <a:ext cx="289560" cy="2741"/>
          </a:xfrm>
          <a:prstGeom prst="straightConnector1">
            <a:avLst/>
          </a:prstGeom>
          <a:ln w="0">
            <a:headEnd type="stealth" w="sm" len="sm"/>
            <a:tailEnd type="stealth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125014</xdr:colOff>
      <xdr:row>22</xdr:row>
      <xdr:rowOff>26265</xdr:rowOff>
    </xdr:from>
    <xdr:to>
      <xdr:col>6</xdr:col>
      <xdr:colOff>1416432</xdr:colOff>
      <xdr:row>23</xdr:row>
      <xdr:rowOff>140372</xdr:rowOff>
    </xdr:to>
    <xdr:sp macro="" textlink="">
      <xdr:nvSpPr>
        <xdr:cNvPr id="66" name="Куб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/>
      </xdr:nvSpPr>
      <xdr:spPr>
        <a:xfrm>
          <a:off x="5409318" y="4606548"/>
          <a:ext cx="1291418" cy="304607"/>
        </a:xfrm>
        <a:prstGeom prst="cube">
          <a:avLst>
            <a:gd name="adj" fmla="val 11364"/>
          </a:avLst>
        </a:prstGeom>
        <a:solidFill>
          <a:schemeClr val="bg1">
            <a:lumMod val="8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281811</xdr:colOff>
      <xdr:row>22</xdr:row>
      <xdr:rowOff>158525</xdr:rowOff>
    </xdr:from>
    <xdr:to>
      <xdr:col>6</xdr:col>
      <xdr:colOff>370974</xdr:colOff>
      <xdr:row>23</xdr:row>
      <xdr:rowOff>65171</xdr:rowOff>
    </xdr:to>
    <xdr:sp macro="" textlink="">
      <xdr:nvSpPr>
        <xdr:cNvPr id="67" name="Кольцо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/>
      </xdr:nvSpPr>
      <xdr:spPr>
        <a:xfrm>
          <a:off x="5560666" y="4570104"/>
          <a:ext cx="89163" cy="97146"/>
        </a:xfrm>
        <a:prstGeom prst="donut">
          <a:avLst/>
        </a:prstGeom>
        <a:solidFill>
          <a:schemeClr val="tx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97972</xdr:colOff>
      <xdr:row>23</xdr:row>
      <xdr:rowOff>150041</xdr:rowOff>
    </xdr:from>
    <xdr:to>
      <xdr:col>6</xdr:col>
      <xdr:colOff>309952</xdr:colOff>
      <xdr:row>24</xdr:row>
      <xdr:rowOff>164645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5377543" y="4923427"/>
          <a:ext cx="211980" cy="2051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/>
            <a:t>y</a:t>
          </a:r>
          <a:endParaRPr lang="ru-RU" sz="1100" b="1"/>
        </a:p>
      </xdr:txBody>
    </xdr:sp>
    <xdr:clientData/>
  </xdr:twoCellAnchor>
  <xdr:twoCellAnchor>
    <xdr:from>
      <xdr:col>6</xdr:col>
      <xdr:colOff>335630</xdr:colOff>
      <xdr:row>23</xdr:row>
      <xdr:rowOff>127992</xdr:rowOff>
    </xdr:from>
    <xdr:to>
      <xdr:col>6</xdr:col>
      <xdr:colOff>335630</xdr:colOff>
      <xdr:row>24</xdr:row>
      <xdr:rowOff>188562</xdr:rowOff>
    </xdr:to>
    <xdr:cxnSp macro="">
      <xdr:nvCxnSpPr>
        <xdr:cNvPr id="70" name="Прямая соединительная линия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CxnSpPr/>
      </xdr:nvCxnSpPr>
      <xdr:spPr>
        <a:xfrm>
          <a:off x="6529601" y="4814292"/>
          <a:ext cx="0" cy="25107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128452</xdr:colOff>
      <xdr:row>23</xdr:row>
      <xdr:rowOff>105518</xdr:rowOff>
    </xdr:from>
    <xdr:to>
      <xdr:col>6</xdr:col>
      <xdr:colOff>128452</xdr:colOff>
      <xdr:row>24</xdr:row>
      <xdr:rowOff>166088</xdr:rowOff>
    </xdr:to>
    <xdr:cxnSp macro="">
      <xdr:nvCxnSpPr>
        <xdr:cNvPr id="71" name="Прямая соединительная линия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CxnSpPr/>
      </xdr:nvCxnSpPr>
      <xdr:spPr>
        <a:xfrm>
          <a:off x="5412756" y="4876301"/>
          <a:ext cx="0" cy="25107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105792</xdr:colOff>
      <xdr:row>25</xdr:row>
      <xdr:rowOff>15902</xdr:rowOff>
    </xdr:from>
    <xdr:to>
      <xdr:col>6</xdr:col>
      <xdr:colOff>351815</xdr:colOff>
      <xdr:row>25</xdr:row>
      <xdr:rowOff>18026</xdr:rowOff>
    </xdr:to>
    <xdr:cxnSp macro="">
      <xdr:nvCxnSpPr>
        <xdr:cNvPr id="72" name="Прямая со стрелкой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CxnSpPr/>
      </xdr:nvCxnSpPr>
      <xdr:spPr>
        <a:xfrm flipV="1">
          <a:off x="5385363" y="5170288"/>
          <a:ext cx="246023" cy="2124"/>
        </a:xfrm>
        <a:prstGeom prst="straightConnector1">
          <a:avLst/>
        </a:prstGeom>
        <a:ln w="0">
          <a:headEnd type="stealth" w="sm" len="sm"/>
          <a:tailEnd type="stealth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411773</xdr:colOff>
      <xdr:row>14</xdr:row>
      <xdr:rowOff>112478</xdr:rowOff>
    </xdr:from>
    <xdr:to>
      <xdr:col>3</xdr:col>
      <xdr:colOff>1159809</xdr:colOff>
      <xdr:row>25</xdr:row>
      <xdr:rowOff>23911</xdr:rowOff>
    </xdr:to>
    <xdr:grpSp>
      <xdr:nvGrpSpPr>
        <xdr:cNvPr id="47" name="Группа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GrpSpPr/>
      </xdr:nvGrpSpPr>
      <xdr:grpSpPr>
        <a:xfrm>
          <a:off x="647993" y="3099518"/>
          <a:ext cx="3293116" cy="1976453"/>
          <a:chOff x="640373" y="2866564"/>
          <a:chExt cx="3126565" cy="2137561"/>
        </a:xfrm>
      </xdr:grpSpPr>
      <xdr:grpSp>
        <xdr:nvGrpSpPr>
          <xdr:cNvPr id="15" name="Группа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GrpSpPr/>
        </xdr:nvGrpSpPr>
        <xdr:grpSpPr>
          <a:xfrm>
            <a:off x="640373" y="2866564"/>
            <a:ext cx="3126565" cy="2137561"/>
            <a:chOff x="646236" y="2579076"/>
            <a:chExt cx="3129286" cy="2006932"/>
          </a:xfrm>
        </xdr:grpSpPr>
        <xdr:pic>
          <xdr:nvPicPr>
            <xdr:cNvPr id="2" name="Рисунок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646236" y="2579076"/>
              <a:ext cx="2971800" cy="1959035"/>
            </a:xfrm>
            <a:prstGeom prst="rect">
              <a:avLst/>
            </a:prstGeom>
          </xdr:spPr>
        </xdr:pic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2641067" y="2987804"/>
              <a:ext cx="263378" cy="232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100" b="1"/>
                <a:t>B</a:t>
              </a:r>
              <a:endParaRPr lang="ru-RU" sz="1100" b="1"/>
            </a:p>
          </xdr:txBody>
        </xdr:sp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3441800" y="4261080"/>
              <a:ext cx="273601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100" b="1"/>
                <a:t>D</a:t>
              </a:r>
              <a:endParaRPr lang="ru-RU" sz="1100" b="1"/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 txBox="1"/>
          </xdr:nvSpPr>
          <xdr:spPr>
            <a:xfrm>
              <a:off x="1450731" y="3868615"/>
              <a:ext cx="269782" cy="232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100" b="1"/>
                <a:t>A</a:t>
              </a:r>
              <a:endParaRPr lang="ru-RU" sz="1100" b="1"/>
            </a:p>
          </xdr:txBody>
        </xdr: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SpPr txBox="1"/>
          </xdr:nvSpPr>
          <xdr:spPr>
            <a:xfrm>
              <a:off x="1055077" y="2688981"/>
              <a:ext cx="259302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100" b="1"/>
                <a:t>C</a:t>
              </a:r>
              <a:endParaRPr lang="ru-RU" sz="1100" b="1"/>
            </a:p>
          </xdr:txBody>
        </xdr:sp>
        <xdr:cxnSp macro="">
          <xdr:nvCxnSpPr>
            <xdr:cNvPr id="10" name="Прямая со стрелкой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CxnSpPr/>
          </xdr:nvCxnSpPr>
          <xdr:spPr>
            <a:xfrm>
              <a:off x="1783676" y="2689842"/>
              <a:ext cx="1874184" cy="1070810"/>
            </a:xfrm>
            <a:prstGeom prst="straightConnector1">
              <a:avLst/>
            </a:prstGeom>
            <a:ln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 txBox="1"/>
          </xdr:nvSpPr>
          <xdr:spPr>
            <a:xfrm>
              <a:off x="2801041" y="3097995"/>
              <a:ext cx="24397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100">
                  <a:solidFill>
                    <a:schemeClr val="tx2">
                      <a:lumMod val="60000"/>
                      <a:lumOff val="40000"/>
                    </a:schemeClr>
                  </a:solidFill>
                </a:rPr>
                <a:t>L</a:t>
              </a:r>
              <a:endParaRPr lang="ru-RU" sz="1100">
                <a:solidFill>
                  <a:schemeClr val="tx2">
                    <a:lumMod val="60000"/>
                    <a:lumOff val="40000"/>
                  </a:schemeClr>
                </a:solidFill>
              </a:endParaRPr>
            </a:p>
          </xdr:txBody>
        </xdr:sp>
        <xdr:cxnSp macro="">
          <xdr:nvCxnSpPr>
            <xdr:cNvPr id="13" name="Прямая со стрелкой 12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CxnSpPr/>
          </xdr:nvCxnSpPr>
          <xdr:spPr>
            <a:xfrm flipV="1">
              <a:off x="2818280" y="4026792"/>
              <a:ext cx="957242" cy="559216"/>
            </a:xfrm>
            <a:prstGeom prst="straightConnector1">
              <a:avLst/>
            </a:prstGeom>
            <a:ln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SpPr txBox="1"/>
          </xdr:nvSpPr>
          <xdr:spPr>
            <a:xfrm>
              <a:off x="3149852" y="4124587"/>
              <a:ext cx="261418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100">
                  <a:solidFill>
                    <a:schemeClr val="tx2">
                      <a:lumMod val="60000"/>
                      <a:lumOff val="40000"/>
                    </a:schemeClr>
                  </a:solidFill>
                </a:rPr>
                <a:t>B</a:t>
              </a:r>
              <a:endParaRPr lang="ru-RU" sz="1100">
                <a:solidFill>
                  <a:schemeClr val="tx2">
                    <a:lumMod val="60000"/>
                    <a:lumOff val="40000"/>
                  </a:schemeClr>
                </a:solidFill>
              </a:endParaRPr>
            </a:p>
          </xdr:txBody>
        </xdr:sp>
      </xdr:grpSp>
      <xdr:cxnSp macro="">
        <xdr:nvCxnSpPr>
          <xdr:cNvPr id="82" name="Прямая соединительная линия 81">
            <a:extLst>
              <a:ext uri="{FF2B5EF4-FFF2-40B4-BE49-F238E27FC236}">
                <a16:creationId xmlns:a16="http://schemas.microsoft.com/office/drawing/2014/main" id="{00000000-0008-0000-0400-000052000000}"/>
              </a:ext>
            </a:extLst>
          </xdr:cNvPr>
          <xdr:cNvCxnSpPr/>
        </xdr:nvCxnSpPr>
        <xdr:spPr>
          <a:xfrm>
            <a:off x="1732592" y="3096296"/>
            <a:ext cx="909" cy="209361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4" name="Прямая соединительная линия 83">
            <a:extLst>
              <a:ext uri="{FF2B5EF4-FFF2-40B4-BE49-F238E27FC236}">
                <a16:creationId xmlns:a16="http://schemas.microsoft.com/office/drawing/2014/main" id="{00000000-0008-0000-0400-000054000000}"/>
              </a:ext>
            </a:extLst>
          </xdr:cNvPr>
          <xdr:cNvCxnSpPr/>
        </xdr:nvCxnSpPr>
        <xdr:spPr>
          <a:xfrm flipH="1">
            <a:off x="1121229" y="3302585"/>
            <a:ext cx="612587" cy="393115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7" name="Прямая соединительная линия 86">
            <a:extLst>
              <a:ext uri="{FF2B5EF4-FFF2-40B4-BE49-F238E27FC236}">
                <a16:creationId xmlns:a16="http://schemas.microsoft.com/office/drawing/2014/main" id="{00000000-0008-0000-0400-000057000000}"/>
              </a:ext>
            </a:extLst>
          </xdr:cNvPr>
          <xdr:cNvCxnSpPr/>
        </xdr:nvCxnSpPr>
        <xdr:spPr>
          <a:xfrm>
            <a:off x="1739256" y="3308731"/>
            <a:ext cx="1570001" cy="947583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9" name="Прямая соединительная линия 88">
            <a:extLst>
              <a:ext uri="{FF2B5EF4-FFF2-40B4-BE49-F238E27FC236}">
                <a16:creationId xmlns:a16="http://schemas.microsoft.com/office/drawing/2014/main" id="{00000000-0008-0000-0400-000059000000}"/>
              </a:ext>
            </a:extLst>
          </xdr:cNvPr>
          <xdr:cNvCxnSpPr/>
        </xdr:nvCxnSpPr>
        <xdr:spPr>
          <a:xfrm>
            <a:off x="1735275" y="3141908"/>
            <a:ext cx="1688282" cy="1038206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3" name="Прямая соединительная линия 92">
            <a:extLst>
              <a:ext uri="{FF2B5EF4-FFF2-40B4-BE49-F238E27FC236}">
                <a16:creationId xmlns:a16="http://schemas.microsoft.com/office/drawing/2014/main" id="{00000000-0008-0000-0400-00005D000000}"/>
              </a:ext>
            </a:extLst>
          </xdr:cNvPr>
          <xdr:cNvCxnSpPr/>
        </xdr:nvCxnSpPr>
        <xdr:spPr>
          <a:xfrm flipH="1">
            <a:off x="974271" y="3140528"/>
            <a:ext cx="767443" cy="478972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794524</xdr:colOff>
      <xdr:row>22</xdr:row>
      <xdr:rowOff>102221</xdr:rowOff>
    </xdr:from>
    <xdr:to>
      <xdr:col>1</xdr:col>
      <xdr:colOff>1087244</xdr:colOff>
      <xdr:row>23</xdr:row>
      <xdr:rowOff>171916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V="1">
          <a:off x="1022195" y="4581294"/>
          <a:ext cx="292720" cy="26019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179779</xdr:colOff>
      <xdr:row>23</xdr:row>
      <xdr:rowOff>104492</xdr:rowOff>
    </xdr:from>
    <xdr:ext cx="1193532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405998" y="4771742"/>
          <a:ext cx="11935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tx2">
                  <a:lumMod val="60000"/>
                  <a:lumOff val="40000"/>
                </a:schemeClr>
              </a:solidFill>
            </a:rPr>
            <a:t>лицевая</a:t>
          </a:r>
          <a:r>
            <a:rPr lang="ru-RU" sz="1100" baseline="0">
              <a:solidFill>
                <a:schemeClr val="tx2">
                  <a:lumMod val="60000"/>
                  <a:lumOff val="40000"/>
                </a:schemeClr>
              </a:solidFill>
            </a:rPr>
            <a:t> сторона</a:t>
          </a:r>
          <a:endParaRPr lang="ru-RU" sz="11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oneCellAnchor>
  <xdr:twoCellAnchor>
    <xdr:from>
      <xdr:col>10</xdr:col>
      <xdr:colOff>11907</xdr:colOff>
      <xdr:row>15</xdr:row>
      <xdr:rowOff>23813</xdr:rowOff>
    </xdr:from>
    <xdr:to>
      <xdr:col>12</xdr:col>
      <xdr:colOff>17861</xdr:colOff>
      <xdr:row>19</xdr:row>
      <xdr:rowOff>11907</xdr:rowOff>
    </xdr:to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7810501" y="2893219"/>
          <a:ext cx="1869282" cy="892969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12956</xdr:colOff>
      <xdr:row>14</xdr:row>
      <xdr:rowOff>79749</xdr:rowOff>
    </xdr:from>
    <xdr:to>
      <xdr:col>10</xdr:col>
      <xdr:colOff>402569</xdr:colOff>
      <xdr:row>14</xdr:row>
      <xdr:rowOff>80919</xdr:rowOff>
    </xdr:to>
    <xdr:cxnSp macro="">
      <xdr:nvCxnSpPr>
        <xdr:cNvPr id="76" name="Прямая со стрелкой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CxnSpPr/>
      </xdr:nvCxnSpPr>
      <xdr:spPr>
        <a:xfrm>
          <a:off x="7809849" y="2756954"/>
          <a:ext cx="389613" cy="1170"/>
        </a:xfrm>
        <a:prstGeom prst="straightConnector1">
          <a:avLst/>
        </a:prstGeom>
        <a:ln w="9525">
          <a:solidFill>
            <a:schemeClr val="tx1"/>
          </a:solidFill>
          <a:headEnd type="stealth" w="sm" len="sm"/>
          <a:tailEnd type="stealth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224227</xdr:colOff>
      <xdr:row>14</xdr:row>
      <xdr:rowOff>74116</xdr:rowOff>
    </xdr:from>
    <xdr:to>
      <xdr:col>12</xdr:col>
      <xdr:colOff>27060</xdr:colOff>
      <xdr:row>14</xdr:row>
      <xdr:rowOff>74623</xdr:rowOff>
    </xdr:to>
    <xdr:cxnSp macro="">
      <xdr:nvCxnSpPr>
        <xdr:cNvPr id="81" name="Прямая со стрелкой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CxnSpPr/>
      </xdr:nvCxnSpPr>
      <xdr:spPr>
        <a:xfrm>
          <a:off x="9279781" y="2751321"/>
          <a:ext cx="411752" cy="507"/>
        </a:xfrm>
        <a:prstGeom prst="straightConnector1">
          <a:avLst/>
        </a:prstGeom>
        <a:ln w="9525">
          <a:solidFill>
            <a:schemeClr val="tx1"/>
          </a:solidFill>
          <a:headEnd type="stealth" w="sm" len="sm"/>
          <a:tailEnd type="stealth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314394</xdr:colOff>
      <xdr:row>13</xdr:row>
      <xdr:rowOff>177581</xdr:rowOff>
    </xdr:from>
    <xdr:ext cx="245773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9529832" y="2838628"/>
          <a:ext cx="2457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ysClr val="windowText" lastClr="000000"/>
              </a:solidFill>
            </a:rPr>
            <a:t>x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10</xdr:col>
      <xdr:colOff>67966</xdr:colOff>
      <xdr:row>13</xdr:row>
      <xdr:rowOff>195664</xdr:rowOff>
    </xdr:from>
    <xdr:ext cx="245773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8030866" y="2853139"/>
          <a:ext cx="2457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ysClr val="windowText" lastClr="000000"/>
              </a:solidFill>
            </a:rPr>
            <a:t>x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292306</xdr:colOff>
      <xdr:row>17</xdr:row>
      <xdr:rowOff>147561</xdr:rowOff>
    </xdr:from>
    <xdr:ext cx="264560" cy="245773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 rot="16200000">
          <a:off x="7481168" y="3769574"/>
          <a:ext cx="2457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ysClr val="windowText" lastClr="000000"/>
              </a:solidFill>
            </a:rPr>
            <a:t>x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281299</xdr:colOff>
      <xdr:row>14</xdr:row>
      <xdr:rowOff>184695</xdr:rowOff>
    </xdr:from>
    <xdr:ext cx="264560" cy="245773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 rot="16200000">
          <a:off x="7470161" y="3205443"/>
          <a:ext cx="2457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ysClr val="windowText" lastClr="000000"/>
              </a:solidFill>
            </a:rPr>
            <a:t>x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10</xdr:col>
      <xdr:colOff>779860</xdr:colOff>
      <xdr:row>17</xdr:row>
      <xdr:rowOff>148829</xdr:rowOff>
    </xdr:from>
    <xdr:to>
      <xdr:col>10</xdr:col>
      <xdr:colOff>1049642</xdr:colOff>
      <xdr:row>19</xdr:row>
      <xdr:rowOff>32449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8578454" y="3542110"/>
          <a:ext cx="269782" cy="2646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/>
            <a:t>A</a:t>
          </a:r>
          <a:endParaRPr lang="ru-RU" sz="1100" b="1"/>
        </a:p>
      </xdr:txBody>
    </xdr:sp>
    <xdr:clientData/>
  </xdr:twoCellAnchor>
  <xdr:twoCellAnchor>
    <xdr:from>
      <xdr:col>10</xdr:col>
      <xdr:colOff>5954</xdr:colOff>
      <xdr:row>16</xdr:row>
      <xdr:rowOff>11906</xdr:rowOff>
    </xdr:from>
    <xdr:to>
      <xdr:col>10</xdr:col>
      <xdr:colOff>437896</xdr:colOff>
      <xdr:row>17</xdr:row>
      <xdr:rowOff>122065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7965282" y="3452812"/>
          <a:ext cx="431942" cy="3006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/>
            <a:t>C</a:t>
          </a:r>
          <a:endParaRPr lang="ru-RU" sz="1100" b="1"/>
        </a:p>
      </xdr:txBody>
    </xdr:sp>
    <xdr:clientData/>
  </xdr:twoCellAnchor>
  <xdr:twoCellAnchor>
    <xdr:from>
      <xdr:col>10</xdr:col>
      <xdr:colOff>773907</xdr:colOff>
      <xdr:row>14</xdr:row>
      <xdr:rowOff>279797</xdr:rowOff>
    </xdr:from>
    <xdr:to>
      <xdr:col>10</xdr:col>
      <xdr:colOff>1037285</xdr:colOff>
      <xdr:row>16</xdr:row>
      <xdr:rowOff>95551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8572501" y="3173016"/>
          <a:ext cx="263378" cy="333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/>
            <a:t>B</a:t>
          </a:r>
          <a:endParaRPr lang="ru-RU" sz="1100" b="1"/>
        </a:p>
      </xdr:txBody>
    </xdr:sp>
    <xdr:clientData/>
  </xdr:twoCellAnchor>
  <xdr:twoCellAnchor>
    <xdr:from>
      <xdr:col>11</xdr:col>
      <xdr:colOff>392907</xdr:colOff>
      <xdr:row>16</xdr:row>
      <xdr:rowOff>29767</xdr:rowOff>
    </xdr:from>
    <xdr:to>
      <xdr:col>12</xdr:col>
      <xdr:colOff>59289</xdr:colOff>
      <xdr:row>17</xdr:row>
      <xdr:rowOff>122067</xdr:rowOff>
    </xdr:to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9447610" y="3440908"/>
          <a:ext cx="273601" cy="28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/>
            <a:t>D</a:t>
          </a:r>
          <a:endParaRPr lang="ru-RU" sz="1100" b="1"/>
        </a:p>
      </xdr:txBody>
    </xdr:sp>
    <xdr:clientData/>
  </xdr:twoCellAnchor>
  <xdr:twoCellAnchor>
    <xdr:from>
      <xdr:col>10</xdr:col>
      <xdr:colOff>35719</xdr:colOff>
      <xdr:row>21</xdr:row>
      <xdr:rowOff>130969</xdr:rowOff>
    </xdr:from>
    <xdr:to>
      <xdr:col>12</xdr:col>
      <xdr:colOff>41673</xdr:colOff>
      <xdr:row>25</xdr:row>
      <xdr:rowOff>130969</xdr:rowOff>
    </xdr:to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/>
      </xdr:nvSpPr>
      <xdr:spPr>
        <a:xfrm>
          <a:off x="7834313" y="4286250"/>
          <a:ext cx="1869282" cy="892969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51310</xdr:colOff>
      <xdr:row>21</xdr:row>
      <xdr:rowOff>33005</xdr:rowOff>
    </xdr:from>
    <xdr:to>
      <xdr:col>10</xdr:col>
      <xdr:colOff>474704</xdr:colOff>
      <xdr:row>21</xdr:row>
      <xdr:rowOff>34018</xdr:rowOff>
    </xdr:to>
    <xdr:cxnSp macro="">
      <xdr:nvCxnSpPr>
        <xdr:cNvPr id="107" name="Прямая со стрелкой 106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CxnSpPr/>
      </xdr:nvCxnSpPr>
      <xdr:spPr>
        <a:xfrm flipV="1">
          <a:off x="8019465" y="4421074"/>
          <a:ext cx="423394" cy="1013"/>
        </a:xfrm>
        <a:prstGeom prst="straightConnector1">
          <a:avLst/>
        </a:prstGeom>
        <a:ln w="9525">
          <a:solidFill>
            <a:schemeClr val="tx1"/>
          </a:solidFill>
          <a:headEnd type="stealth" w="sm" len="sm"/>
          <a:tailEnd type="stealth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174283</xdr:colOff>
      <xdr:row>26</xdr:row>
      <xdr:rowOff>53238</xdr:rowOff>
    </xdr:from>
    <xdr:to>
      <xdr:col>12</xdr:col>
      <xdr:colOff>20059</xdr:colOff>
      <xdr:row>26</xdr:row>
      <xdr:rowOff>55367</xdr:rowOff>
    </xdr:to>
    <xdr:cxnSp macro="">
      <xdr:nvCxnSpPr>
        <xdr:cNvPr id="109" name="Прямая со стрелкой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CxnSpPr/>
      </xdr:nvCxnSpPr>
      <xdr:spPr>
        <a:xfrm>
          <a:off x="9397111" y="5459497"/>
          <a:ext cx="456689" cy="2129"/>
        </a:xfrm>
        <a:prstGeom prst="straightConnector1">
          <a:avLst/>
        </a:prstGeom>
        <a:ln w="9525">
          <a:solidFill>
            <a:schemeClr val="tx1"/>
          </a:solidFill>
          <a:headEnd type="stealth" w="sm" len="sm"/>
          <a:tailEnd type="stealth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514266</xdr:colOff>
      <xdr:row>24</xdr:row>
      <xdr:rowOff>75936</xdr:rowOff>
    </xdr:from>
    <xdr:to>
      <xdr:col>9</xdr:col>
      <xdr:colOff>515471</xdr:colOff>
      <xdr:row>25</xdr:row>
      <xdr:rowOff>87522</xdr:rowOff>
    </xdr:to>
    <xdr:cxnSp macro="">
      <xdr:nvCxnSpPr>
        <xdr:cNvPr id="110" name="Прямая со стрелкой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CxnSpPr/>
      </xdr:nvCxnSpPr>
      <xdr:spPr>
        <a:xfrm>
          <a:off x="7700714" y="5035505"/>
          <a:ext cx="1205" cy="202086"/>
        </a:xfrm>
        <a:prstGeom prst="straightConnector1">
          <a:avLst/>
        </a:prstGeom>
        <a:ln w="9525">
          <a:solidFill>
            <a:schemeClr val="tx1"/>
          </a:solidFill>
          <a:headEnd type="stealth" w="sm" len="sm"/>
          <a:tailEnd type="stealth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183097</xdr:colOff>
      <xdr:row>21</xdr:row>
      <xdr:rowOff>134429</xdr:rowOff>
    </xdr:from>
    <xdr:to>
      <xdr:col>12</xdr:col>
      <xdr:colOff>187699</xdr:colOff>
      <xdr:row>23</xdr:row>
      <xdr:rowOff>180454</xdr:rowOff>
    </xdr:to>
    <xdr:cxnSp macro="">
      <xdr:nvCxnSpPr>
        <xdr:cNvPr id="113" name="Прямая со стрелкой 11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CxnSpPr/>
      </xdr:nvCxnSpPr>
      <xdr:spPr>
        <a:xfrm>
          <a:off x="10016838" y="4522498"/>
          <a:ext cx="4602" cy="427025"/>
        </a:xfrm>
        <a:prstGeom prst="straightConnector1">
          <a:avLst/>
        </a:prstGeom>
        <a:ln w="9525">
          <a:solidFill>
            <a:schemeClr val="tx1"/>
          </a:solidFill>
          <a:headEnd type="stealth" w="sm" len="sm"/>
          <a:tailEnd type="stealth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296511</xdr:colOff>
      <xdr:row>25</xdr:row>
      <xdr:rowOff>55895</xdr:rowOff>
    </xdr:from>
    <xdr:ext cx="248530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9519339" y="5205964"/>
          <a:ext cx="2485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ysClr val="windowText" lastClr="000000"/>
              </a:solidFill>
            </a:rPr>
            <a:t>y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11</xdr:col>
      <xdr:colOff>574576</xdr:colOff>
      <xdr:row>22</xdr:row>
      <xdr:rowOff>2574</xdr:rowOff>
    </xdr:from>
    <xdr:ext cx="264560" cy="24853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/>
      </xdr:nvSpPr>
      <xdr:spPr>
        <a:xfrm rot="16200000">
          <a:off x="9805419" y="4573128"/>
          <a:ext cx="2485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ysClr val="windowText" lastClr="000000"/>
              </a:solidFill>
            </a:rPr>
            <a:t>y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10</xdr:col>
      <xdr:colOff>149072</xdr:colOff>
      <xdr:row>19</xdr:row>
      <xdr:rowOff>154286</xdr:rowOff>
    </xdr:from>
    <xdr:ext cx="248530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8117227" y="4161355"/>
          <a:ext cx="2485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ysClr val="windowText" lastClr="000000"/>
              </a:solidFill>
            </a:rPr>
            <a:t>y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251924</xdr:colOff>
      <xdr:row>24</xdr:row>
      <xdr:rowOff>58123</xdr:rowOff>
    </xdr:from>
    <xdr:ext cx="264560" cy="24853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 rot="16200000">
          <a:off x="7446387" y="5009677"/>
          <a:ext cx="2485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ysClr val="windowText" lastClr="000000"/>
              </a:solidFill>
            </a:rPr>
            <a:t>y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10</xdr:col>
      <xdr:colOff>809625</xdr:colOff>
      <xdr:row>24</xdr:row>
      <xdr:rowOff>83344</xdr:rowOff>
    </xdr:from>
    <xdr:to>
      <xdr:col>10</xdr:col>
      <xdr:colOff>1079407</xdr:colOff>
      <xdr:row>25</xdr:row>
      <xdr:rowOff>157464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8608219" y="4941094"/>
          <a:ext cx="269782" cy="2646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/>
            <a:t>A</a:t>
          </a:r>
          <a:endParaRPr lang="ru-RU" sz="1100" b="1"/>
        </a:p>
      </xdr:txBody>
    </xdr:sp>
    <xdr:clientData/>
  </xdr:twoCellAnchor>
  <xdr:twoCellAnchor>
    <xdr:from>
      <xdr:col>10</xdr:col>
      <xdr:colOff>29765</xdr:colOff>
      <xdr:row>22</xdr:row>
      <xdr:rowOff>148828</xdr:rowOff>
    </xdr:from>
    <xdr:to>
      <xdr:col>10</xdr:col>
      <xdr:colOff>289067</xdr:colOff>
      <xdr:row>24</xdr:row>
      <xdr:rowOff>68487</xdr:rowOff>
    </xdr:to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7989093" y="4732734"/>
          <a:ext cx="259302" cy="3006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/>
            <a:t>C</a:t>
          </a:r>
          <a:endParaRPr lang="ru-RU" sz="1100" b="1"/>
        </a:p>
      </xdr:txBody>
    </xdr:sp>
    <xdr:clientData/>
  </xdr:twoCellAnchor>
  <xdr:twoCellAnchor>
    <xdr:from>
      <xdr:col>10</xdr:col>
      <xdr:colOff>797718</xdr:colOff>
      <xdr:row>21</xdr:row>
      <xdr:rowOff>119063</xdr:rowOff>
    </xdr:from>
    <xdr:to>
      <xdr:col>10</xdr:col>
      <xdr:colOff>1061096</xdr:colOff>
      <xdr:row>23</xdr:row>
      <xdr:rowOff>38100</xdr:rowOff>
    </xdr:to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8760618" y="4510088"/>
          <a:ext cx="263378" cy="3000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/>
            <a:t>B</a:t>
          </a:r>
          <a:endParaRPr lang="ru-RU" sz="1100" b="1"/>
        </a:p>
      </xdr:txBody>
    </xdr:sp>
    <xdr:clientData/>
  </xdr:twoCellAnchor>
  <xdr:twoCellAnchor>
    <xdr:from>
      <xdr:col>11</xdr:col>
      <xdr:colOff>369094</xdr:colOff>
      <xdr:row>22</xdr:row>
      <xdr:rowOff>166688</xdr:rowOff>
    </xdr:from>
    <xdr:to>
      <xdr:col>12</xdr:col>
      <xdr:colOff>35476</xdr:colOff>
      <xdr:row>24</xdr:row>
      <xdr:rowOff>86347</xdr:rowOff>
    </xdr:to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9584532" y="4750594"/>
          <a:ext cx="273600" cy="3006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/>
            <a:t>D</a:t>
          </a:r>
          <a:endParaRPr lang="ru-RU" sz="1100" b="1"/>
        </a:p>
      </xdr:txBody>
    </xdr:sp>
    <xdr:clientData/>
  </xdr:twoCellAnchor>
  <xdr:twoCellAnchor>
    <xdr:from>
      <xdr:col>9</xdr:col>
      <xdr:colOff>510702</xdr:colOff>
      <xdr:row>15</xdr:row>
      <xdr:rowOff>20046</xdr:rowOff>
    </xdr:from>
    <xdr:to>
      <xdr:col>9</xdr:col>
      <xdr:colOff>511209</xdr:colOff>
      <xdr:row>16</xdr:row>
      <xdr:rowOff>26983</xdr:rowOff>
    </xdr:to>
    <xdr:cxnSp macro="">
      <xdr:nvCxnSpPr>
        <xdr:cNvPr id="126" name="Прямая со стрелкой 12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CxnSpPr/>
      </xdr:nvCxnSpPr>
      <xdr:spPr>
        <a:xfrm flipV="1">
          <a:off x="7700716" y="3198675"/>
          <a:ext cx="507" cy="338951"/>
        </a:xfrm>
        <a:prstGeom prst="straightConnector1">
          <a:avLst/>
        </a:prstGeom>
        <a:ln w="9525">
          <a:solidFill>
            <a:schemeClr val="tx1"/>
          </a:solidFill>
          <a:headEnd type="stealth" w="sm" len="sm"/>
          <a:tailEnd type="stealth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514755</xdr:colOff>
      <xdr:row>17</xdr:row>
      <xdr:rowOff>49592</xdr:rowOff>
    </xdr:from>
    <xdr:to>
      <xdr:col>9</xdr:col>
      <xdr:colOff>515262</xdr:colOff>
      <xdr:row>19</xdr:row>
      <xdr:rowOff>7891</xdr:rowOff>
    </xdr:to>
    <xdr:cxnSp macro="">
      <xdr:nvCxnSpPr>
        <xdr:cNvPr id="127" name="Прямая со стрелкой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CxnSpPr/>
      </xdr:nvCxnSpPr>
      <xdr:spPr>
        <a:xfrm flipV="1">
          <a:off x="7706130" y="3439371"/>
          <a:ext cx="507" cy="339299"/>
        </a:xfrm>
        <a:prstGeom prst="straightConnector1">
          <a:avLst/>
        </a:prstGeom>
        <a:ln w="9525">
          <a:solidFill>
            <a:schemeClr val="tx1"/>
          </a:solidFill>
          <a:headEnd type="stealth" w="sm" len="sm"/>
          <a:tailEnd type="stealth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16213</xdr:colOff>
      <xdr:row>19</xdr:row>
      <xdr:rowOff>160089</xdr:rowOff>
    </xdr:from>
    <xdr:to>
      <xdr:col>10</xdr:col>
      <xdr:colOff>405826</xdr:colOff>
      <xdr:row>19</xdr:row>
      <xdr:rowOff>161259</xdr:rowOff>
    </xdr:to>
    <xdr:cxnSp macro="">
      <xdr:nvCxnSpPr>
        <xdr:cNvPr id="128" name="Прямая со стрелкой 127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CxnSpPr/>
      </xdr:nvCxnSpPr>
      <xdr:spPr>
        <a:xfrm>
          <a:off x="7813106" y="3932669"/>
          <a:ext cx="389613" cy="1170"/>
        </a:xfrm>
        <a:prstGeom prst="straightConnector1">
          <a:avLst/>
        </a:prstGeom>
        <a:ln w="9525">
          <a:solidFill>
            <a:schemeClr val="tx1"/>
          </a:solidFill>
          <a:headEnd type="stealth" w="sm" len="sm"/>
          <a:tailEnd type="stealth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227484</xdr:colOff>
      <xdr:row>19</xdr:row>
      <xdr:rowOff>164660</xdr:rowOff>
    </xdr:from>
    <xdr:to>
      <xdr:col>12</xdr:col>
      <xdr:colOff>30317</xdr:colOff>
      <xdr:row>19</xdr:row>
      <xdr:rowOff>165167</xdr:rowOff>
    </xdr:to>
    <xdr:cxnSp macro="">
      <xdr:nvCxnSpPr>
        <xdr:cNvPr id="129" name="Прямая со стрелкой 12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CxnSpPr/>
      </xdr:nvCxnSpPr>
      <xdr:spPr>
        <a:xfrm>
          <a:off x="9282314" y="3934128"/>
          <a:ext cx="410812" cy="507"/>
        </a:xfrm>
        <a:prstGeom prst="straightConnector1">
          <a:avLst/>
        </a:prstGeom>
        <a:ln w="9525">
          <a:solidFill>
            <a:schemeClr val="tx1"/>
          </a:solidFill>
          <a:headEnd type="stealth" w="sm" len="sm"/>
          <a:tailEnd type="stealth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314249</xdr:colOff>
      <xdr:row>18</xdr:row>
      <xdr:rowOff>151614</xdr:rowOff>
    </xdr:from>
    <xdr:ext cx="245773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9369079" y="3730582"/>
          <a:ext cx="2457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ysClr val="windowText" lastClr="000000"/>
              </a:solidFill>
            </a:rPr>
            <a:t>x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10</xdr:col>
      <xdr:colOff>95375</xdr:colOff>
      <xdr:row>18</xdr:row>
      <xdr:rowOff>149968</xdr:rowOff>
    </xdr:from>
    <xdr:ext cx="245773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7893715" y="3728936"/>
          <a:ext cx="2457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ysClr val="windowText" lastClr="000000"/>
              </a:solidFill>
            </a:rPr>
            <a:t>x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11</xdr:col>
      <xdr:colOff>562396</xdr:colOff>
      <xdr:row>17</xdr:row>
      <xdr:rowOff>101567</xdr:rowOff>
    </xdr:from>
    <xdr:ext cx="264560" cy="245773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/>
      </xdr:nvSpPr>
      <xdr:spPr>
        <a:xfrm rot="16200000">
          <a:off x="9787227" y="3723580"/>
          <a:ext cx="2457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ysClr val="windowText" lastClr="000000"/>
              </a:solidFill>
            </a:rPr>
            <a:t>x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11</xdr:col>
      <xdr:colOff>552443</xdr:colOff>
      <xdr:row>15</xdr:row>
      <xdr:rowOff>24192</xdr:rowOff>
    </xdr:from>
    <xdr:ext cx="264560" cy="245773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/>
      </xdr:nvSpPr>
      <xdr:spPr>
        <a:xfrm rot="16200000">
          <a:off x="9777274" y="3235440"/>
          <a:ext cx="2457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ysClr val="windowText" lastClr="000000"/>
              </a:solidFill>
            </a:rPr>
            <a:t>x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12</xdr:col>
      <xdr:colOff>162309</xdr:colOff>
      <xdr:row>15</xdr:row>
      <xdr:rowOff>32724</xdr:rowOff>
    </xdr:from>
    <xdr:to>
      <xdr:col>12</xdr:col>
      <xdr:colOff>162816</xdr:colOff>
      <xdr:row>16</xdr:row>
      <xdr:rowOff>39661</xdr:rowOff>
    </xdr:to>
    <xdr:cxnSp macro="">
      <xdr:nvCxnSpPr>
        <xdr:cNvPr id="134" name="Прямая со стрелкой 13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CxnSpPr/>
      </xdr:nvCxnSpPr>
      <xdr:spPr>
        <a:xfrm flipV="1">
          <a:off x="9832985" y="2898628"/>
          <a:ext cx="507" cy="340312"/>
        </a:xfrm>
        <a:prstGeom prst="straightConnector1">
          <a:avLst/>
        </a:prstGeom>
        <a:ln w="9525">
          <a:solidFill>
            <a:schemeClr val="tx1"/>
          </a:solidFill>
          <a:headEnd type="stealth" w="sm" len="sm"/>
          <a:tailEnd type="stealth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177568</xdr:colOff>
      <xdr:row>17</xdr:row>
      <xdr:rowOff>42820</xdr:rowOff>
    </xdr:from>
    <xdr:to>
      <xdr:col>12</xdr:col>
      <xdr:colOff>178075</xdr:colOff>
      <xdr:row>19</xdr:row>
      <xdr:rowOff>1119</xdr:rowOff>
    </xdr:to>
    <xdr:cxnSp macro="">
      <xdr:nvCxnSpPr>
        <xdr:cNvPr id="135" name="Прямая со стрелкой 13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CxnSpPr/>
      </xdr:nvCxnSpPr>
      <xdr:spPr>
        <a:xfrm flipV="1">
          <a:off x="9848244" y="3432599"/>
          <a:ext cx="507" cy="339299"/>
        </a:xfrm>
        <a:prstGeom prst="straightConnector1">
          <a:avLst/>
        </a:prstGeom>
        <a:ln w="9525">
          <a:solidFill>
            <a:schemeClr val="tx1"/>
          </a:solidFill>
          <a:headEnd type="stealth" w="sm" len="sm"/>
          <a:tailEnd type="stealth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13607</xdr:colOff>
      <xdr:row>14</xdr:row>
      <xdr:rowOff>78241</xdr:rowOff>
    </xdr:from>
    <xdr:to>
      <xdr:col>10</xdr:col>
      <xdr:colOff>13607</xdr:colOff>
      <xdr:row>15</xdr:row>
      <xdr:rowOff>23813</xdr:rowOff>
    </xdr:to>
    <xdr:cxnSp macro="">
      <xdr:nvCxnSpPr>
        <xdr:cNvPr id="136" name="Прямая соединительная линия 135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CxnSpPr/>
      </xdr:nvCxnSpPr>
      <xdr:spPr>
        <a:xfrm flipV="1">
          <a:off x="7810500" y="2755446"/>
          <a:ext cx="0" cy="1360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401411</xdr:colOff>
      <xdr:row>14</xdr:row>
      <xdr:rowOff>71438</xdr:rowOff>
    </xdr:from>
    <xdr:to>
      <xdr:col>10</xdr:col>
      <xdr:colOff>401411</xdr:colOff>
      <xdr:row>15</xdr:row>
      <xdr:rowOff>17010</xdr:rowOff>
    </xdr:to>
    <xdr:cxnSp macro="">
      <xdr:nvCxnSpPr>
        <xdr:cNvPr id="137" name="Прямая соединительная линия 13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CxnSpPr/>
      </xdr:nvCxnSpPr>
      <xdr:spPr>
        <a:xfrm flipV="1">
          <a:off x="8198304" y="2748643"/>
          <a:ext cx="0" cy="1360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236083</xdr:colOff>
      <xdr:row>14</xdr:row>
      <xdr:rowOff>78241</xdr:rowOff>
    </xdr:from>
    <xdr:to>
      <xdr:col>11</xdr:col>
      <xdr:colOff>236083</xdr:colOff>
      <xdr:row>15</xdr:row>
      <xdr:rowOff>23813</xdr:rowOff>
    </xdr:to>
    <xdr:cxnSp macro="">
      <xdr:nvCxnSpPr>
        <xdr:cNvPr id="138" name="Прямая соединительная линия 13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CxnSpPr/>
      </xdr:nvCxnSpPr>
      <xdr:spPr>
        <a:xfrm flipV="1">
          <a:off x="9292997" y="2962955"/>
          <a:ext cx="0" cy="239487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20411</xdr:colOff>
      <xdr:row>14</xdr:row>
      <xdr:rowOff>71438</xdr:rowOff>
    </xdr:from>
    <xdr:to>
      <xdr:col>12</xdr:col>
      <xdr:colOff>20411</xdr:colOff>
      <xdr:row>15</xdr:row>
      <xdr:rowOff>17010</xdr:rowOff>
    </xdr:to>
    <xdr:cxnSp macro="">
      <xdr:nvCxnSpPr>
        <xdr:cNvPr id="139" name="Прямая соединительная линия 13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CxnSpPr/>
      </xdr:nvCxnSpPr>
      <xdr:spPr>
        <a:xfrm flipV="1">
          <a:off x="9684884" y="2748643"/>
          <a:ext cx="0" cy="1360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19</xdr:row>
      <xdr:rowOff>13607</xdr:rowOff>
    </xdr:from>
    <xdr:to>
      <xdr:col>10</xdr:col>
      <xdr:colOff>19050</xdr:colOff>
      <xdr:row>19</xdr:row>
      <xdr:rowOff>149679</xdr:rowOff>
    </xdr:to>
    <xdr:cxnSp macro="">
      <xdr:nvCxnSpPr>
        <xdr:cNvPr id="140" name="Прямая соединительная линия 13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CxnSpPr/>
      </xdr:nvCxnSpPr>
      <xdr:spPr>
        <a:xfrm flipV="1">
          <a:off x="7818664" y="4095750"/>
          <a:ext cx="0" cy="1360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401411</xdr:colOff>
      <xdr:row>19</xdr:row>
      <xdr:rowOff>6804</xdr:rowOff>
    </xdr:from>
    <xdr:to>
      <xdr:col>10</xdr:col>
      <xdr:colOff>401411</xdr:colOff>
      <xdr:row>19</xdr:row>
      <xdr:rowOff>142876</xdr:rowOff>
    </xdr:to>
    <xdr:cxnSp macro="">
      <xdr:nvCxnSpPr>
        <xdr:cNvPr id="141" name="Прямая соединительная линия 14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CxnSpPr/>
      </xdr:nvCxnSpPr>
      <xdr:spPr>
        <a:xfrm flipV="1">
          <a:off x="8198304" y="3779384"/>
          <a:ext cx="0" cy="1360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19</xdr:row>
      <xdr:rowOff>20410</xdr:rowOff>
    </xdr:from>
    <xdr:to>
      <xdr:col>11</xdr:col>
      <xdr:colOff>238125</xdr:colOff>
      <xdr:row>19</xdr:row>
      <xdr:rowOff>156482</xdr:rowOff>
    </xdr:to>
    <xdr:cxnSp macro="">
      <xdr:nvCxnSpPr>
        <xdr:cNvPr id="142" name="Прямая соединительная линия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CxnSpPr/>
      </xdr:nvCxnSpPr>
      <xdr:spPr>
        <a:xfrm flipV="1">
          <a:off x="9293679" y="3792990"/>
          <a:ext cx="0" cy="1360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17010</xdr:colOff>
      <xdr:row>19</xdr:row>
      <xdr:rowOff>13607</xdr:rowOff>
    </xdr:from>
    <xdr:to>
      <xdr:col>12</xdr:col>
      <xdr:colOff>17010</xdr:colOff>
      <xdr:row>19</xdr:row>
      <xdr:rowOff>149679</xdr:rowOff>
    </xdr:to>
    <xdr:cxnSp macro="">
      <xdr:nvCxnSpPr>
        <xdr:cNvPr id="143" name="Прямая соединительная линия 14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CxnSpPr/>
      </xdr:nvCxnSpPr>
      <xdr:spPr>
        <a:xfrm flipV="1">
          <a:off x="9681483" y="3786187"/>
          <a:ext cx="0" cy="1360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504265</xdr:colOff>
      <xdr:row>15</xdr:row>
      <xdr:rowOff>19611</xdr:rowOff>
    </xdr:from>
    <xdr:to>
      <xdr:col>10</xdr:col>
      <xdr:colOff>10206</xdr:colOff>
      <xdr:row>15</xdr:row>
      <xdr:rowOff>20412</xdr:rowOff>
    </xdr:to>
    <xdr:cxnSp macro="">
      <xdr:nvCxnSpPr>
        <xdr:cNvPr id="144" name="Прямая соединительная линия 14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CxnSpPr/>
      </xdr:nvCxnSpPr>
      <xdr:spPr>
        <a:xfrm flipH="1" flipV="1">
          <a:off x="7695640" y="2885515"/>
          <a:ext cx="116662" cy="8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515471</xdr:colOff>
      <xdr:row>16</xdr:row>
      <xdr:rowOff>28016</xdr:rowOff>
    </xdr:from>
    <xdr:to>
      <xdr:col>10</xdr:col>
      <xdr:colOff>22411</xdr:colOff>
      <xdr:row>16</xdr:row>
      <xdr:rowOff>28016</xdr:rowOff>
    </xdr:to>
    <xdr:cxnSp macro="">
      <xdr:nvCxnSpPr>
        <xdr:cNvPr id="145" name="Прямая соединительная линия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CxnSpPr/>
      </xdr:nvCxnSpPr>
      <xdr:spPr>
        <a:xfrm>
          <a:off x="7706846" y="3227295"/>
          <a:ext cx="117661" cy="0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518071</xdr:colOff>
      <xdr:row>17</xdr:row>
      <xdr:rowOff>44824</xdr:rowOff>
    </xdr:from>
    <xdr:to>
      <xdr:col>10</xdr:col>
      <xdr:colOff>24012</xdr:colOff>
      <xdr:row>17</xdr:row>
      <xdr:rowOff>45625</xdr:rowOff>
    </xdr:to>
    <xdr:cxnSp macro="">
      <xdr:nvCxnSpPr>
        <xdr:cNvPr id="151" name="Прямая соединительная линия 15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CxnSpPr/>
      </xdr:nvCxnSpPr>
      <xdr:spPr>
        <a:xfrm flipH="1" flipV="1">
          <a:off x="7709446" y="3434603"/>
          <a:ext cx="116662" cy="8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507066</xdr:colOff>
      <xdr:row>19</xdr:row>
      <xdr:rowOff>15009</xdr:rowOff>
    </xdr:from>
    <xdr:to>
      <xdr:col>10</xdr:col>
      <xdr:colOff>34217</xdr:colOff>
      <xdr:row>19</xdr:row>
      <xdr:rowOff>18410</xdr:rowOff>
    </xdr:to>
    <xdr:cxnSp macro="">
      <xdr:nvCxnSpPr>
        <xdr:cNvPr id="152" name="Прямая соединительная линия 15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CxnSpPr/>
      </xdr:nvCxnSpPr>
      <xdr:spPr>
        <a:xfrm flipH="1" flipV="1">
          <a:off x="7698441" y="3785788"/>
          <a:ext cx="137872" cy="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19409</xdr:colOff>
      <xdr:row>15</xdr:row>
      <xdr:rowOff>25214</xdr:rowOff>
    </xdr:from>
    <xdr:to>
      <xdr:col>12</xdr:col>
      <xdr:colOff>165287</xdr:colOff>
      <xdr:row>15</xdr:row>
      <xdr:rowOff>25214</xdr:rowOff>
    </xdr:to>
    <xdr:cxnSp macro="">
      <xdr:nvCxnSpPr>
        <xdr:cNvPr id="155" name="Прямая соединительная линия 154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CxnSpPr/>
      </xdr:nvCxnSpPr>
      <xdr:spPr>
        <a:xfrm flipH="1">
          <a:off x="9690085" y="2891118"/>
          <a:ext cx="145878" cy="0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8404</xdr:colOff>
      <xdr:row>16</xdr:row>
      <xdr:rowOff>37581</xdr:rowOff>
    </xdr:from>
    <xdr:to>
      <xdr:col>12</xdr:col>
      <xdr:colOff>156883</xdr:colOff>
      <xdr:row>16</xdr:row>
      <xdr:rowOff>39381</xdr:rowOff>
    </xdr:to>
    <xdr:cxnSp macro="">
      <xdr:nvCxnSpPr>
        <xdr:cNvPr id="156" name="Прямая соединительная линия 155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CxnSpPr/>
      </xdr:nvCxnSpPr>
      <xdr:spPr>
        <a:xfrm flipH="1" flipV="1">
          <a:off x="9674918" y="3548224"/>
          <a:ext cx="148479" cy="1800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22211</xdr:colOff>
      <xdr:row>17</xdr:row>
      <xdr:rowOff>44664</xdr:rowOff>
    </xdr:from>
    <xdr:to>
      <xdr:col>12</xdr:col>
      <xdr:colOff>168089</xdr:colOff>
      <xdr:row>17</xdr:row>
      <xdr:rowOff>44664</xdr:rowOff>
    </xdr:to>
    <xdr:cxnSp macro="">
      <xdr:nvCxnSpPr>
        <xdr:cNvPr id="160" name="Прямая соединительная линия 15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CxnSpPr/>
      </xdr:nvCxnSpPr>
      <xdr:spPr>
        <a:xfrm flipH="1">
          <a:off x="9688725" y="3745807"/>
          <a:ext cx="145878" cy="0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11206</xdr:colOff>
      <xdr:row>19</xdr:row>
      <xdr:rowOff>9406</xdr:rowOff>
    </xdr:from>
    <xdr:to>
      <xdr:col>12</xdr:col>
      <xdr:colOff>159685</xdr:colOff>
      <xdr:row>19</xdr:row>
      <xdr:rowOff>11206</xdr:rowOff>
    </xdr:to>
    <xdr:cxnSp macro="">
      <xdr:nvCxnSpPr>
        <xdr:cNvPr id="161" name="Прямая соединительная линия 16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CxnSpPr/>
      </xdr:nvCxnSpPr>
      <xdr:spPr>
        <a:xfrm flipH="1" flipV="1">
          <a:off x="9681882" y="3780185"/>
          <a:ext cx="148479" cy="1800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190307</xdr:colOff>
      <xdr:row>25</xdr:row>
      <xdr:rowOff>139438</xdr:rowOff>
    </xdr:from>
    <xdr:to>
      <xdr:col>11</xdr:col>
      <xdr:colOff>190307</xdr:colOff>
      <xdr:row>26</xdr:row>
      <xdr:rowOff>85010</xdr:rowOff>
    </xdr:to>
    <xdr:cxnSp macro="">
      <xdr:nvCxnSpPr>
        <xdr:cNvPr id="162" name="Прямая соединительная линия 16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CxnSpPr/>
      </xdr:nvCxnSpPr>
      <xdr:spPr>
        <a:xfrm flipV="1">
          <a:off x="9413135" y="5289507"/>
          <a:ext cx="0" cy="20176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28830</xdr:colOff>
      <xdr:row>25</xdr:row>
      <xdr:rowOff>141039</xdr:rowOff>
    </xdr:from>
    <xdr:to>
      <xdr:col>12</xdr:col>
      <xdr:colOff>28830</xdr:colOff>
      <xdr:row>26</xdr:row>
      <xdr:rowOff>86611</xdr:rowOff>
    </xdr:to>
    <xdr:cxnSp macro="">
      <xdr:nvCxnSpPr>
        <xdr:cNvPr id="163" name="Прямая соединительная линия 16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CxnSpPr/>
      </xdr:nvCxnSpPr>
      <xdr:spPr>
        <a:xfrm flipV="1">
          <a:off x="9862571" y="5291108"/>
          <a:ext cx="0" cy="20176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45727</xdr:colOff>
      <xdr:row>20</xdr:row>
      <xdr:rowOff>168958</xdr:rowOff>
    </xdr:from>
    <xdr:to>
      <xdr:col>10</xdr:col>
      <xdr:colOff>45727</xdr:colOff>
      <xdr:row>21</xdr:row>
      <xdr:rowOff>114530</xdr:rowOff>
    </xdr:to>
    <xdr:cxnSp macro="">
      <xdr:nvCxnSpPr>
        <xdr:cNvPr id="164" name="Прямая соединительная линия 163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CxnSpPr/>
      </xdr:nvCxnSpPr>
      <xdr:spPr>
        <a:xfrm flipV="1">
          <a:off x="8013882" y="4366527"/>
          <a:ext cx="0" cy="1360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489913</xdr:colOff>
      <xdr:row>20</xdr:row>
      <xdr:rowOff>170559</xdr:rowOff>
    </xdr:from>
    <xdr:to>
      <xdr:col>10</xdr:col>
      <xdr:colOff>489913</xdr:colOff>
      <xdr:row>21</xdr:row>
      <xdr:rowOff>116131</xdr:rowOff>
    </xdr:to>
    <xdr:cxnSp macro="">
      <xdr:nvCxnSpPr>
        <xdr:cNvPr id="165" name="Прямая соединительная линия 164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CxnSpPr/>
      </xdr:nvCxnSpPr>
      <xdr:spPr>
        <a:xfrm flipV="1">
          <a:off x="8458068" y="4368128"/>
          <a:ext cx="0" cy="13607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517106</xdr:colOff>
      <xdr:row>24</xdr:row>
      <xdr:rowOff>65979</xdr:rowOff>
    </xdr:from>
    <xdr:to>
      <xdr:col>10</xdr:col>
      <xdr:colOff>23047</xdr:colOff>
      <xdr:row>24</xdr:row>
      <xdr:rowOff>66780</xdr:rowOff>
    </xdr:to>
    <xdr:cxnSp macro="">
      <xdr:nvCxnSpPr>
        <xdr:cNvPr id="167" name="Прямая соединительная линия 166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CxnSpPr/>
      </xdr:nvCxnSpPr>
      <xdr:spPr>
        <a:xfrm flipH="1" flipV="1">
          <a:off x="7703554" y="5025548"/>
          <a:ext cx="287648" cy="8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506101</xdr:colOff>
      <xdr:row>25</xdr:row>
      <xdr:rowOff>92193</xdr:rowOff>
    </xdr:from>
    <xdr:to>
      <xdr:col>10</xdr:col>
      <xdr:colOff>33252</xdr:colOff>
      <xdr:row>25</xdr:row>
      <xdr:rowOff>95594</xdr:rowOff>
    </xdr:to>
    <xdr:cxnSp macro="">
      <xdr:nvCxnSpPr>
        <xdr:cNvPr id="168" name="Прямая соединительная линия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CxnSpPr/>
      </xdr:nvCxnSpPr>
      <xdr:spPr>
        <a:xfrm flipH="1" flipV="1">
          <a:off x="7692549" y="5242262"/>
          <a:ext cx="308858" cy="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38053</xdr:colOff>
      <xdr:row>21</xdr:row>
      <xdr:rowOff>121526</xdr:rowOff>
    </xdr:from>
    <xdr:to>
      <xdr:col>12</xdr:col>
      <xdr:colOff>154715</xdr:colOff>
      <xdr:row>21</xdr:row>
      <xdr:rowOff>122327</xdr:rowOff>
    </xdr:to>
    <xdr:cxnSp macro="">
      <xdr:nvCxnSpPr>
        <xdr:cNvPr id="170" name="Прямая соединительная линия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CxnSpPr/>
      </xdr:nvCxnSpPr>
      <xdr:spPr>
        <a:xfrm flipH="1" flipV="1">
          <a:off x="9871794" y="4509595"/>
          <a:ext cx="116662" cy="8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32651</xdr:colOff>
      <xdr:row>23</xdr:row>
      <xdr:rowOff>158947</xdr:rowOff>
    </xdr:from>
    <xdr:to>
      <xdr:col>12</xdr:col>
      <xdr:colOff>170523</xdr:colOff>
      <xdr:row>23</xdr:row>
      <xdr:rowOff>162348</xdr:rowOff>
    </xdr:to>
    <xdr:cxnSp macro="">
      <xdr:nvCxnSpPr>
        <xdr:cNvPr id="171" name="Прямая соединительная линия 17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CxnSpPr/>
      </xdr:nvCxnSpPr>
      <xdr:spPr>
        <a:xfrm flipH="1" flipV="1">
          <a:off x="9866392" y="4928016"/>
          <a:ext cx="137872" cy="340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163789</xdr:colOff>
      <xdr:row>23</xdr:row>
      <xdr:rowOff>73439</xdr:rowOff>
    </xdr:from>
    <xdr:to>
      <xdr:col>3</xdr:col>
      <xdr:colOff>246458</xdr:colOff>
      <xdr:row>23</xdr:row>
      <xdr:rowOff>168437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69755" y="4844598"/>
          <a:ext cx="82669" cy="89283"/>
        </a:xfrm>
        <a:prstGeom prst="rect">
          <a:avLst/>
        </a:prstGeom>
      </xdr:spPr>
    </xdr:pic>
    <xdr:clientData/>
  </xdr:twoCellAnchor>
  <xdr:twoCellAnchor editAs="oneCell">
    <xdr:from>
      <xdr:col>3</xdr:col>
      <xdr:colOff>749746</xdr:colOff>
      <xdr:row>21</xdr:row>
      <xdr:rowOff>132500</xdr:rowOff>
    </xdr:from>
    <xdr:to>
      <xdr:col>3</xdr:col>
      <xdr:colOff>822890</xdr:colOff>
      <xdr:row>22</xdr:row>
      <xdr:rowOff>21758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55712" y="4522659"/>
          <a:ext cx="82669" cy="89283"/>
        </a:xfrm>
        <a:prstGeom prst="rect">
          <a:avLst/>
        </a:prstGeom>
      </xdr:spPr>
    </xdr:pic>
    <xdr:clientData/>
  </xdr:twoCellAnchor>
  <xdr:twoCellAnchor>
    <xdr:from>
      <xdr:col>6</xdr:col>
      <xdr:colOff>148828</xdr:colOff>
      <xdr:row>15</xdr:row>
      <xdr:rowOff>89296</xdr:rowOff>
    </xdr:from>
    <xdr:to>
      <xdr:col>6</xdr:col>
      <xdr:colOff>214312</xdr:colOff>
      <xdr:row>15</xdr:row>
      <xdr:rowOff>136921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H="1">
          <a:off x="5363766" y="3309937"/>
          <a:ext cx="65484" cy="47625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156210</xdr:colOff>
      <xdr:row>15</xdr:row>
      <xdr:rowOff>125730</xdr:rowOff>
    </xdr:from>
    <xdr:to>
      <xdr:col>6</xdr:col>
      <xdr:colOff>158591</xdr:colOff>
      <xdr:row>16</xdr:row>
      <xdr:rowOff>184071</xdr:rowOff>
    </xdr:to>
    <xdr:cxnSp macro="">
      <xdr:nvCxnSpPr>
        <xdr:cNvPr id="23" name="Прямая соединительная линия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>
          <a:off x="5379720" y="3352800"/>
          <a:ext cx="2381" cy="27932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174546</xdr:colOff>
      <xdr:row>22</xdr:row>
      <xdr:rowOff>21907</xdr:rowOff>
    </xdr:from>
    <xdr:to>
      <xdr:col>6</xdr:col>
      <xdr:colOff>240030</xdr:colOff>
      <xdr:row>22</xdr:row>
      <xdr:rowOff>69532</xdr:rowOff>
    </xdr:to>
    <xdr:cxnSp macro="">
      <xdr:nvCxnSpPr>
        <xdr:cNvPr id="108" name="Прямая соединительная линия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CxnSpPr/>
      </xdr:nvCxnSpPr>
      <xdr:spPr>
        <a:xfrm flipH="1">
          <a:off x="5398056" y="4612957"/>
          <a:ext cx="65484" cy="47625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181928</xdr:colOff>
      <xdr:row>22</xdr:row>
      <xdr:rowOff>58341</xdr:rowOff>
    </xdr:from>
    <xdr:to>
      <xdr:col>6</xdr:col>
      <xdr:colOff>184309</xdr:colOff>
      <xdr:row>23</xdr:row>
      <xdr:rowOff>147162</xdr:rowOff>
    </xdr:to>
    <xdr:cxnSp macro="">
      <xdr:nvCxnSpPr>
        <xdr:cNvPr id="111" name="Прямая соединительная линия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CxnSpPr/>
      </xdr:nvCxnSpPr>
      <xdr:spPr>
        <a:xfrm>
          <a:off x="5405438" y="4649391"/>
          <a:ext cx="2381" cy="27932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246528</xdr:colOff>
      <xdr:row>12</xdr:row>
      <xdr:rowOff>0</xdr:rowOff>
    </xdr:from>
    <xdr:to>
      <xdr:col>17</xdr:col>
      <xdr:colOff>517441</xdr:colOff>
      <xdr:row>16</xdr:row>
      <xdr:rowOff>59016</xdr:rowOff>
    </xdr:to>
    <xdr:grpSp>
      <xdr:nvGrpSpPr>
        <xdr:cNvPr id="9" name="Группа 8">
          <a:extLst>
            <a:ext uri="{FF2B5EF4-FFF2-40B4-BE49-F238E27FC236}">
              <a16:creationId xmlns:a16="http://schemas.microsoft.com/office/drawing/2014/main" id="{15351977-CA23-496F-9E2C-0BC787D62F0F}"/>
            </a:ext>
          </a:extLst>
        </xdr:cNvPr>
        <xdr:cNvGrpSpPr/>
      </xdr:nvGrpSpPr>
      <xdr:grpSpPr>
        <a:xfrm>
          <a:off x="12133728" y="2369820"/>
          <a:ext cx="2145433" cy="1080096"/>
          <a:chOff x="11715750" y="3771899"/>
          <a:chExt cx="2086266" cy="1085923"/>
        </a:xfrm>
      </xdr:grpSpPr>
      <xdr:pic>
        <xdr:nvPicPr>
          <xdr:cNvPr id="19" name="Рисунок 18">
            <a:extLst>
              <a:ext uri="{FF2B5EF4-FFF2-40B4-BE49-F238E27FC236}">
                <a16:creationId xmlns:a16="http://schemas.microsoft.com/office/drawing/2014/main" id="{7999F12C-9109-BF1B-57B7-035B427AC9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1715750" y="4343400"/>
            <a:ext cx="2086266" cy="514422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705E6006-AE1A-76DE-2113-6143478E8885}"/>
              </a:ext>
            </a:extLst>
          </xdr:cNvPr>
          <xdr:cNvSpPr txBox="1"/>
        </xdr:nvSpPr>
        <xdr:spPr>
          <a:xfrm>
            <a:off x="11768283" y="3771899"/>
            <a:ext cx="1981200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1100" b="1">
                <a:solidFill>
                  <a:srgbClr val="0070C0"/>
                </a:solidFill>
              </a:rPr>
              <a:t>При</a:t>
            </a:r>
            <a:r>
              <a:rPr lang="ru-RU" sz="1100" b="1" baseline="0">
                <a:solidFill>
                  <a:srgbClr val="0070C0"/>
                </a:solidFill>
              </a:rPr>
              <a:t> необходимости расчета без вставок, оставьте ячейку "наполнение" пустой</a:t>
            </a:r>
            <a:endParaRPr lang="ru-RU" sz="1100" b="1">
              <a:solidFill>
                <a:srgbClr val="0070C0"/>
              </a:solidFill>
            </a:endParaRPr>
          </a:p>
        </xdr:txBody>
      </xdr:sp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134674</xdr:colOff>
      <xdr:row>0</xdr:row>
      <xdr:rowOff>76200</xdr:rowOff>
    </xdr:from>
    <xdr:to>
      <xdr:col>2</xdr:col>
      <xdr:colOff>231500</xdr:colOff>
      <xdr:row>3</xdr:row>
      <xdr:rowOff>55072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517690E-8B71-40E9-B779-519AAE55A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801" y="76200"/>
          <a:ext cx="1188308" cy="549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135403</xdr:colOff>
      <xdr:row>0</xdr:row>
      <xdr:rowOff>0</xdr:rowOff>
    </xdr:from>
    <xdr:to>
      <xdr:col>22</xdr:col>
      <xdr:colOff>21920</xdr:colOff>
      <xdr:row>25</xdr:row>
      <xdr:rowOff>154890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CAEC923-76E5-4276-9D33-E7E105B32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90972" y="0"/>
          <a:ext cx="3549832" cy="49621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74667</xdr:colOff>
      <xdr:row>45</xdr:row>
      <xdr:rowOff>17976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66667" cy="85904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рофили" displayName="Профили" ref="F2:G5" totalsRowShown="0">
  <autoFilter ref="F2:G5" xr:uid="{00000000-0009-0000-0100-000001000000}"/>
  <tableColumns count="2">
    <tableColumn id="1" xr3:uid="{00000000-0010-0000-0000-000001000000}" name="профиль"/>
    <tableColumn id="2" xr3:uid="{00000000-0010-0000-0000-000002000000}" name="арт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C4B3004-066E-45BE-BB0B-4E3E6F83DD68}" name="ПрофилиMAX" displayName="ПрофилиMAX" ref="F9:G10" totalsRowShown="0">
  <autoFilter ref="F9:G10" xr:uid="{BC4B3004-066E-45BE-BB0B-4E3E6F83DD68}"/>
  <tableColumns count="2">
    <tableColumn id="1" xr3:uid="{98FB6A64-0AFB-4AA5-AE12-3238650C57D3}" name="профиль"/>
    <tableColumn id="2" xr3:uid="{38B2E9FF-A60D-44A1-BED5-608C113A3778}" name="арт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61AB83E-202F-4EEC-ADD6-C1BC4F023012}" name="ФурнитураЦвета" displayName="ФурнитураЦвета" ref="Z2:AA6" totalsRowShown="0" headerRowDxfId="9">
  <autoFilter ref="Z2:AA6" xr:uid="{381D56E9-F165-4048-9CEB-101F289AA5F7}">
    <filterColumn colId="0" hiddenButton="1"/>
    <filterColumn colId="1" hiddenButton="1"/>
  </autoFilter>
  <tableColumns count="2">
    <tableColumn id="1" xr3:uid="{B9920772-7EBE-4598-A4A2-8BCE41E2A0D1}" name="ЦветГруппа"/>
    <tableColumn id="2" xr3:uid="{D09B849D-9966-4697-B65B-02CC0915EB8F}" name="ВыборПетель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878552C-6B0E-40FC-B569-938739AFE219}" name="ФурнитураMAX" displayName="ФурнитураMAX" ref="AD10:AG11" totalsRowShown="0">
  <autoFilter ref="AD10:AG11" xr:uid="{F471AF45-4AAC-4311-B623-950B158616E4}"/>
  <tableColumns count="4">
    <tableColumn id="1" xr3:uid="{2A7D737A-4B4F-4472-AF3D-12F9925CC95B}" name="Цвет петель"/>
    <tableColumn id="2" xr3:uid="{EF7B6530-746D-4C77-AB86-AFCA04E5B76A}" name="Петли"/>
    <tableColumn id="3" xr3:uid="{A258580A-D10A-4869-925E-0066DED31021}" name="Уголок"/>
    <tableColumn id="4" xr3:uid="{742B88CE-2474-4FDA-AD46-FE5036C37638}" name="Уплотнитель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3C0121A-E96F-445C-ADCA-44C172BDC9C4}" name="ФурнитураMAXЦвета" displayName="ФурнитураMAXЦвета" ref="Z9:AA10" totalsRowShown="0">
  <autoFilter ref="Z9:AA10" xr:uid="{FC63B8AD-7556-4D05-8248-B6496CDECBED}">
    <filterColumn colId="0" hiddenButton="1"/>
    <filterColumn colId="1" hiddenButton="1"/>
  </autoFilter>
  <tableColumns count="2">
    <tableColumn id="1" xr3:uid="{0BC3E2E1-8C52-4533-87C1-8AA32F5DAAD1}" name="ЦветГруппа"/>
    <tableColumn id="2" xr3:uid="{BD78C622-9831-44F3-9364-29EA0CD45AC5}" name="ВыборПетель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E7D2E47-42E1-4DE3-9A6D-E38DFF03BD41}" name="ПрофилиMAXАрт" displayName="ПрофилиMAXАрт" ref="Q9:V11" totalsRowShown="0">
  <autoFilter ref="Q9:V11" xr:uid="{562C26A6-3279-4274-B61E-4F708B0B0EC4}"/>
  <tableColumns count="6">
    <tableColumn id="1" xr3:uid="{67A36427-D355-4FFD-9A3F-5C89510CE794}" name="профиль"/>
    <tableColumn id="2" xr3:uid="{2C96C10D-7DCE-4E71-A6D0-BD7E9077F686}" name="ручка"/>
    <tableColumn id="3" xr3:uid="{70303473-7640-4BA5-A2AB-4127BDBFD3C4}" name="поиск"/>
    <tableColumn id="4" xr3:uid="{D0F76179-3536-4775-B020-2C68981538B0}" name="полноенаим"/>
    <tableColumn id="5" xr3:uid="{3D8C89B0-42AC-4DAF-87A9-925E73939066}" name="BM"/>
    <tableColumn id="6" xr3:uid="{D8C7317F-92E3-4768-A34D-2C7A6FB64ECB}" name="Наименование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Изменения" displayName="Изменения" ref="A1:D66" totalsRowShown="0">
  <autoFilter ref="A1:D66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Дата" dataDxfId="0"/>
    <tableColumn id="2" xr3:uid="{00000000-0010-0000-0700-000002000000}" name="Изменения"/>
    <tableColumn id="3" xr3:uid="{00000000-0010-0000-0700-000003000000}" name="Комментарии"/>
    <tableColumn id="4" xr3:uid="{00000000-0010-0000-0700-000004000000}" name="Исполнитель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Вставки" displayName="Вставки" ref="J2:L24" totalsRowShown="0">
  <autoFilter ref="J2:L24" xr:uid="{00000000-0009-0000-0100-000002000000}"/>
  <tableColumns count="3">
    <tableColumn id="1" xr3:uid="{00000000-0010-0000-0100-000001000000}" name="вставка"/>
    <tableColumn id="2" xr3:uid="{00000000-0010-0000-0100-000002000000}" name="арт"/>
    <tableColumn id="3" xr3:uid="{E69D19AA-4E84-46A2-9036-EBB630F6E7A2}" name="Обработка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ПрофилиАрт" displayName="ПрофилиАрт" ref="Q2:X4" totalsRowShown="0" headerRowCellStyle="Обычный">
  <autoFilter ref="Q2:X4" xr:uid="{00000000-0009-0000-0100-000003000000}"/>
  <tableColumns count="8">
    <tableColumn id="1" xr3:uid="{00000000-0010-0000-0200-000001000000}" name="профиль"/>
    <tableColumn id="2" xr3:uid="{00000000-0010-0000-0200-000002000000}" name="ручка"/>
    <tableColumn id="3" xr3:uid="{00000000-0010-0000-0200-000003000000}" name="поиск">
      <calculatedColumnFormula>Q3&amp;R3</calculatedColumnFormula>
    </tableColumn>
    <tableColumn id="7" xr3:uid="{00000000-0010-0000-0200-000007000000}" name="полноенаим"/>
    <tableColumn id="4" xr3:uid="{00000000-0010-0000-0200-000004000000}" name="SM"/>
    <tableColumn id="5" xr3:uid="{00000000-0010-0000-0200-000005000000}" name="BM"/>
    <tableColumn id="6" xr3:uid="{00000000-0010-0000-0200-000006000000}" name="CHM"/>
    <tableColumn id="8" xr3:uid="{00000000-0010-0000-0200-000008000000}" name="Наименование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Фурнитура" displayName="Фурнитура" ref="AD2:AG5" totalsRowShown="0">
  <autoFilter ref="AD2:AG5" xr:uid="{00000000-0009-0000-0100-000004000000}"/>
  <tableColumns count="4">
    <tableColumn id="1" xr3:uid="{00000000-0010-0000-0300-000001000000}" name="Цвет петель"/>
    <tableColumn id="2" xr3:uid="{00000000-0010-0000-0300-000002000000}" name="Петли"/>
    <tableColumn id="3" xr3:uid="{00000000-0010-0000-0300-000003000000}" name="Уголок"/>
    <tableColumn id="4" xr3:uid="{00000000-0010-0000-0300-000004000000}" name="Уплотнитель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БДБлокиПит" displayName="БДБлокиПит" ref="AM2:AO6" totalsRowShown="0" headerRowDxfId="16" headerRowCellStyle="Пояснение">
  <autoFilter ref="AM2:AO6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Блоки питания GLS" dataDxfId="15"/>
    <tableColumn id="2" xr3:uid="{00000000-0010-0000-0400-000002000000}" name="арт"/>
    <tableColumn id="3" xr3:uid="{E406032C-0D49-4353-890B-6B7FEB943D5F}" name="Ватт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БДСветодиоды" displayName="БДСветодиоды" ref="AQ2:AS4" totalsRowShown="0">
  <autoFilter ref="AQ2:AS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Светодиоды"/>
    <tableColumn id="2" xr3:uid="{00000000-0010-0000-0500-000002000000}" name="арт"/>
    <tableColumn id="3" xr3:uid="{3875A5BB-5176-46F8-9198-54FBCB0E9BC8}" name="Потребление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ВставкиОпт" displayName="ВставкиОпт" ref="N2:O20" totalsRowShown="0">
  <autoFilter ref="N2:O20" xr:uid="{00000000-0009-0000-0100-000007000000}"/>
  <tableColumns count="2">
    <tableColumn id="1" xr3:uid="{00000000-0010-0000-0600-000001000000}" name="вставка"/>
    <tableColumn id="2" xr3:uid="{00000000-0010-0000-0600-000002000000}" name="арт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61B8A85-BE06-4AB0-BB1B-2C44C49551CA}" name="ПолкиВставкиИРА" displayName="ПолкиВставкиИРА" ref="J30:K39" totalsRowShown="0" dataDxfId="14">
  <autoFilter ref="J30:K39" xr:uid="{561B8A85-BE06-4AB0-BB1B-2C44C49551CA}">
    <filterColumn colId="0" hiddenButton="1"/>
  </autoFilter>
  <tableColumns count="2">
    <tableColumn id="1" xr3:uid="{EB261088-094C-452E-8D68-311CC94F60F6}" name="ира" dataDxfId="13"/>
    <tableColumn id="2" xr3:uid="{5749106D-66FB-44C2-8E21-2B25FA6AF6C1}" name="арт" dataDxfId="12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816BCE1-DA1E-4488-BE3D-80369865DF2D}" name="ПолкиВставкиОПТ" displayName="ПолкиВставкиОПТ" ref="M29:M36" totalsRowShown="0" dataDxfId="11">
  <autoFilter ref="M29:M36" xr:uid="{9816BCE1-DA1E-4488-BE3D-80369865DF2D}">
    <filterColumn colId="0" hiddenButton="1"/>
  </autoFilter>
  <tableColumns count="1">
    <tableColumn id="1" xr3:uid="{EA7E2917-CDF0-4668-9A9A-77E64B8E7D0E}" name="опт" dataDxfId="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theme="6"/>
    <pageSetUpPr fitToPage="1"/>
  </sheetPr>
  <dimension ref="A1:BE256"/>
  <sheetViews>
    <sheetView showGridLines="0" tabSelected="1" zoomScaleNormal="100" workbookViewId="0">
      <selection activeCell="C8" sqref="C8:F8"/>
    </sheetView>
  </sheetViews>
  <sheetFormatPr defaultColWidth="9.109375" defaultRowHeight="14.4" x14ac:dyDescent="0.3"/>
  <cols>
    <col min="1" max="10" width="7.6640625" style="5" customWidth="1"/>
    <col min="11" max="12" width="7.6640625" style="10" customWidth="1"/>
    <col min="13" max="13" width="7.6640625" style="5" customWidth="1"/>
    <col min="14" max="14" width="7.6640625" style="10" customWidth="1"/>
    <col min="15" max="21" width="7.6640625" style="5" customWidth="1"/>
    <col min="22" max="22" width="7.6640625" style="17" customWidth="1"/>
    <col min="23" max="33" width="7.6640625" style="5" customWidth="1"/>
    <col min="34" max="34" width="7.6640625" style="5" hidden="1" customWidth="1"/>
    <col min="35" max="35" width="13" style="5" hidden="1" customWidth="1"/>
    <col min="36" max="36" width="41" style="5" hidden="1" customWidth="1"/>
    <col min="37" max="37" width="15.5546875" style="5" hidden="1" customWidth="1"/>
    <col min="38" max="38" width="22.33203125" style="5" hidden="1" customWidth="1"/>
    <col min="39" max="39" width="16.44140625" style="5" hidden="1" customWidth="1"/>
    <col min="40" max="40" width="13.88671875" style="5" hidden="1" customWidth="1"/>
    <col min="41" max="42" width="9.109375" style="5" hidden="1" customWidth="1"/>
    <col min="43" max="43" width="10.33203125" style="5" hidden="1" customWidth="1"/>
    <col min="44" max="44" width="35.6640625" style="5" hidden="1" customWidth="1"/>
    <col min="45" max="45" width="29.88671875" style="5" hidden="1" customWidth="1"/>
    <col min="46" max="49" width="9.109375" style="5" hidden="1" customWidth="1"/>
    <col min="50" max="50" width="79.109375" style="5" hidden="1" customWidth="1"/>
    <col min="51" max="51" width="32.88671875" style="5" hidden="1" customWidth="1"/>
    <col min="52" max="52" width="9.109375" style="5" hidden="1" customWidth="1"/>
    <col min="53" max="56" width="9.109375" style="5" customWidth="1"/>
    <col min="57" max="57" width="9.109375" style="5" hidden="1" customWidth="1"/>
    <col min="58" max="90" width="9.109375" style="5" customWidth="1"/>
    <col min="91" max="16384" width="9.109375" style="5"/>
  </cols>
  <sheetData>
    <row r="1" spans="1:57" ht="15.9" customHeight="1" thickBot="1" x14ac:dyDescent="0.35">
      <c r="A1" s="403"/>
      <c r="B1" s="404"/>
      <c r="C1" s="405"/>
      <c r="D1" s="406"/>
      <c r="E1" s="485" t="s">
        <v>694</v>
      </c>
      <c r="F1" s="485"/>
      <c r="G1" s="485"/>
      <c r="H1" s="485"/>
      <c r="I1" s="485"/>
      <c r="J1" s="485"/>
      <c r="K1" s="485"/>
      <c r="L1" s="407"/>
      <c r="M1" s="488" t="s">
        <v>677</v>
      </c>
      <c r="N1" s="488"/>
      <c r="O1" s="488"/>
      <c r="P1" s="488"/>
      <c r="Q1" s="404"/>
      <c r="R1" s="408"/>
      <c r="S1" s="404"/>
      <c r="T1" s="408"/>
      <c r="U1" s="409" t="s">
        <v>578</v>
      </c>
      <c r="V1" s="475" t="s">
        <v>678</v>
      </c>
      <c r="W1" s="410" t="s">
        <v>679</v>
      </c>
      <c r="X1" s="411">
        <v>1</v>
      </c>
      <c r="Y1" s="408"/>
      <c r="Z1" s="412"/>
      <c r="AE1" s="5" t="s">
        <v>9</v>
      </c>
      <c r="AJ1" s="5" t="s">
        <v>564</v>
      </c>
      <c r="AK1" s="5" t="s">
        <v>43</v>
      </c>
      <c r="AL1" s="5" t="s">
        <v>89</v>
      </c>
      <c r="AM1" s="5" t="s">
        <v>9</v>
      </c>
      <c r="AN1" s="5" t="str">
        <f>IF(M8="",".",VLOOKUP(M8,$AL$1:$AM$21,2,FALSE))</f>
        <v>.</v>
      </c>
      <c r="AO1" s="5" t="s">
        <v>9</v>
      </c>
      <c r="AP1" s="5" t="s">
        <v>5</v>
      </c>
      <c r="AQ1" s="6"/>
      <c r="AT1" s="5" t="s">
        <v>40</v>
      </c>
      <c r="AX1" s="5" t="s">
        <v>165</v>
      </c>
      <c r="AY1" s="52" t="s">
        <v>90</v>
      </c>
      <c r="BE1" s="5" t="s">
        <v>283</v>
      </c>
    </row>
    <row r="2" spans="1:57" ht="15.9" customHeight="1" x14ac:dyDescent="0.3">
      <c r="A2" s="413"/>
      <c r="B2" s="432"/>
      <c r="C2" s="414"/>
      <c r="D2" s="415"/>
      <c r="E2" s="486"/>
      <c r="F2" s="486"/>
      <c r="G2" s="486"/>
      <c r="H2" s="486"/>
      <c r="I2" s="486"/>
      <c r="J2" s="486"/>
      <c r="K2" s="486"/>
      <c r="L2" s="433"/>
      <c r="M2" s="489"/>
      <c r="N2" s="489"/>
      <c r="O2" s="489"/>
      <c r="P2" s="489"/>
      <c r="Q2" s="432"/>
      <c r="R2" s="434"/>
      <c r="S2" s="434"/>
      <c r="T2" s="435" t="s">
        <v>12</v>
      </c>
      <c r="U2" s="434"/>
      <c r="V2" s="476"/>
      <c r="W2" s="477">
        <f>MAX(Изменения[Дата])</f>
        <v>45160</v>
      </c>
      <c r="X2" s="477"/>
      <c r="Y2" s="477"/>
      <c r="Z2" s="416" t="str">
        <f>"Вер. "&amp;COUNTIF(Изменения[Дата],$W$2)&amp;IF($Z$1, "."&amp;$Z$1, "")</f>
        <v>Вер. 1</v>
      </c>
      <c r="AH2" s="5" t="s">
        <v>449</v>
      </c>
      <c r="AJ2" s="5" t="s">
        <v>42</v>
      </c>
      <c r="AK2" s="5" t="s">
        <v>44</v>
      </c>
      <c r="AL2" s="5" t="s">
        <v>165</v>
      </c>
      <c r="AM2" s="52" t="s">
        <v>90</v>
      </c>
      <c r="AN2" s="5" t="str">
        <f>IF(M11="",".",VLOOKUP(M11,$AL$1:$AM$21,2,FALSE))</f>
        <v>.</v>
      </c>
      <c r="AO2" s="5">
        <v>1</v>
      </c>
      <c r="AP2" s="5" t="e">
        <f>CONCATENATE("ST.",AK4,".Grass.",AN1)</f>
        <v>#N/A</v>
      </c>
      <c r="AT2" s="5" t="s">
        <v>41</v>
      </c>
      <c r="AX2" s="5" t="s">
        <v>166</v>
      </c>
      <c r="AY2" s="52" t="s">
        <v>91</v>
      </c>
      <c r="BE2" s="5" t="s">
        <v>195</v>
      </c>
    </row>
    <row r="3" spans="1:57" ht="15.9" customHeight="1" x14ac:dyDescent="0.3">
      <c r="A3" s="413"/>
      <c r="B3" s="432"/>
      <c r="C3" s="414"/>
      <c r="D3" s="415"/>
      <c r="E3" s="486"/>
      <c r="F3" s="486"/>
      <c r="G3" s="486"/>
      <c r="H3" s="486"/>
      <c r="I3" s="486"/>
      <c r="J3" s="486"/>
      <c r="K3" s="486"/>
      <c r="L3" s="433"/>
      <c r="M3" s="478"/>
      <c r="N3" s="479"/>
      <c r="O3" s="479"/>
      <c r="P3" s="480"/>
      <c r="Q3" s="432"/>
      <c r="R3" s="434"/>
      <c r="S3" s="432"/>
      <c r="T3" s="436" t="s">
        <v>10</v>
      </c>
      <c r="U3" s="437"/>
      <c r="V3" s="437"/>
      <c r="W3" s="437"/>
      <c r="X3" s="437"/>
      <c r="Y3" s="438" t="str">
        <f>"_______________ от_______________"&amp;YEAR($W$2)&amp;"г."</f>
        <v>_______________ от_______________2023г.</v>
      </c>
      <c r="Z3" s="417"/>
      <c r="AH3" s="5" t="s">
        <v>347</v>
      </c>
      <c r="AJ3" s="5" t="s">
        <v>310</v>
      </c>
      <c r="AK3" s="5" t="s">
        <v>311</v>
      </c>
      <c r="AL3" s="5" t="s">
        <v>166</v>
      </c>
      <c r="AM3" s="52" t="s">
        <v>91</v>
      </c>
      <c r="AN3" s="5" t="str">
        <f>IF(M14="",".",VLOOKUP(M14,$AL$1:$AM$21,2,FALSE))</f>
        <v>.</v>
      </c>
      <c r="AO3" s="5">
        <v>2</v>
      </c>
      <c r="AP3" s="5" t="e">
        <f t="shared" ref="AP3:AP11" si="0">CONCATENATE("ST.",AK5,".Grass.",AN2)</f>
        <v>#N/A</v>
      </c>
      <c r="AT3" s="5" t="s">
        <v>42</v>
      </c>
      <c r="AX3" s="5" t="s">
        <v>167</v>
      </c>
      <c r="AY3" s="52" t="s">
        <v>92</v>
      </c>
    </row>
    <row r="4" spans="1:57" ht="15.9" customHeight="1" thickBot="1" x14ac:dyDescent="0.35">
      <c r="A4" s="418"/>
      <c r="B4" s="419"/>
      <c r="C4" s="420"/>
      <c r="D4" s="421"/>
      <c r="E4" s="487"/>
      <c r="F4" s="487"/>
      <c r="G4" s="487"/>
      <c r="H4" s="487"/>
      <c r="I4" s="487"/>
      <c r="J4" s="487"/>
      <c r="K4" s="487"/>
      <c r="L4" s="422"/>
      <c r="M4" s="481"/>
      <c r="N4" s="482"/>
      <c r="O4" s="482"/>
      <c r="P4" s="483"/>
      <c r="Q4" s="419"/>
      <c r="R4" s="423"/>
      <c r="S4" s="423"/>
      <c r="T4" s="424" t="s">
        <v>680</v>
      </c>
      <c r="U4" s="425"/>
      <c r="V4" s="425"/>
      <c r="W4" s="425"/>
      <c r="X4" s="425"/>
      <c r="Y4" s="426" t="str">
        <f>"_______________ от_______________"&amp;YEAR($W$2)&amp;"г."</f>
        <v>_______________ от_______________2023г.</v>
      </c>
      <c r="Z4" s="427"/>
      <c r="AI4" s="5">
        <v>1</v>
      </c>
      <c r="AJ4" s="5" t="s">
        <v>40</v>
      </c>
      <c r="AK4" s="5" t="e">
        <f>VLOOKUP(C8,$AJ$1:$AK$3,2,FALSE)</f>
        <v>#N/A</v>
      </c>
      <c r="AL4" s="5" t="s">
        <v>167</v>
      </c>
      <c r="AM4" s="52" t="s">
        <v>92</v>
      </c>
      <c r="AN4" s="5" t="str">
        <f>IF(M17="",".",VLOOKUP(M17,$AL$1:$AM$21,2,FALSE))</f>
        <v>.</v>
      </c>
      <c r="AO4" s="5">
        <v>3</v>
      </c>
      <c r="AP4" s="5" t="e">
        <f t="shared" si="0"/>
        <v>#N/A</v>
      </c>
      <c r="AX4" s="5" t="s">
        <v>168</v>
      </c>
      <c r="AY4" s="52" t="s">
        <v>93</v>
      </c>
    </row>
    <row r="5" spans="1:57" ht="15.9" customHeight="1" x14ac:dyDescent="0.3">
      <c r="A5" s="32"/>
      <c r="R5" s="24"/>
      <c r="S5" s="24"/>
      <c r="V5" s="5"/>
      <c r="Z5" s="31"/>
      <c r="AI5" s="5">
        <v>2</v>
      </c>
      <c r="AJ5" s="5" t="s">
        <v>40</v>
      </c>
      <c r="AK5" s="5" t="e">
        <f>VLOOKUP(C11,$AJ$1:$AK$3,2,FALSE)</f>
        <v>#N/A</v>
      </c>
      <c r="AL5" s="5" t="s">
        <v>168</v>
      </c>
      <c r="AM5" s="52" t="s">
        <v>93</v>
      </c>
      <c r="AN5" s="5" t="str">
        <f>IF(M20="", ".",VLOOKUP(M20,$AL$1:$AM$21,2,FALSE))</f>
        <v>.</v>
      </c>
      <c r="AO5" s="5">
        <v>4</v>
      </c>
      <c r="AP5" s="5" t="e">
        <f t="shared" si="0"/>
        <v>#N/A</v>
      </c>
      <c r="AX5" s="5" t="s">
        <v>169</v>
      </c>
      <c r="AY5" s="52" t="s">
        <v>74</v>
      </c>
    </row>
    <row r="6" spans="1:57" ht="15.9" customHeight="1" x14ac:dyDescent="0.3">
      <c r="A6" s="32"/>
      <c r="K6" s="5"/>
      <c r="L6" s="5"/>
      <c r="M6" s="10"/>
      <c r="O6" s="10"/>
      <c r="P6" s="10"/>
      <c r="R6" s="24"/>
      <c r="S6" s="24"/>
      <c r="V6" s="5"/>
      <c r="Z6" s="31"/>
      <c r="AI6" s="5">
        <v>3</v>
      </c>
      <c r="AJ6" s="5" t="s">
        <v>40</v>
      </c>
      <c r="AK6" s="5" t="e">
        <f>VLOOKUP(C14,$AJ$1:$AK$3,2,FALSE)</f>
        <v>#N/A</v>
      </c>
      <c r="AL6" s="5" t="s">
        <v>169</v>
      </c>
      <c r="AM6" s="52" t="s">
        <v>74</v>
      </c>
      <c r="AN6" s="5" t="str">
        <f>IF(M23="",".",VLOOKUP(M23,$AL$1:$AM$21,2,FALSE))</f>
        <v>.</v>
      </c>
      <c r="AO6" s="5">
        <v>5</v>
      </c>
      <c r="AP6" s="5" t="e">
        <f>CONCATENATE("ST.",AK8,".Grass.",AN5)</f>
        <v>#N/A</v>
      </c>
      <c r="AX6" s="5" t="s">
        <v>170</v>
      </c>
      <c r="AY6" s="52" t="s">
        <v>75</v>
      </c>
    </row>
    <row r="7" spans="1:57" ht="15.9" customHeight="1" x14ac:dyDescent="0.3">
      <c r="A7" s="32"/>
      <c r="B7" s="484">
        <v>1</v>
      </c>
      <c r="C7" s="490" t="s">
        <v>214</v>
      </c>
      <c r="D7" s="490"/>
      <c r="E7" s="490"/>
      <c r="F7" s="490"/>
      <c r="G7" s="490" t="s">
        <v>4</v>
      </c>
      <c r="H7" s="490"/>
      <c r="I7" s="490" t="s">
        <v>1</v>
      </c>
      <c r="J7" s="490"/>
      <c r="K7" s="490" t="s">
        <v>208</v>
      </c>
      <c r="L7" s="490"/>
      <c r="M7" s="490" t="s">
        <v>209</v>
      </c>
      <c r="N7" s="490"/>
      <c r="O7" s="490"/>
      <c r="P7" s="490"/>
      <c r="Q7" s="490" t="s">
        <v>387</v>
      </c>
      <c r="R7" s="490"/>
      <c r="S7" s="490"/>
      <c r="T7" s="490" t="s">
        <v>213</v>
      </c>
      <c r="U7" s="490"/>
      <c r="V7" s="490"/>
      <c r="W7" s="142" t="s">
        <v>8</v>
      </c>
      <c r="X7" s="494" t="s">
        <v>397</v>
      </c>
      <c r="Y7" s="494"/>
      <c r="Z7" s="495"/>
      <c r="AA7" s="402"/>
      <c r="AI7" s="5">
        <v>4</v>
      </c>
      <c r="AJ7" s="5" t="s">
        <v>40</v>
      </c>
      <c r="AK7" s="5" t="e">
        <f>VLOOKUP(C17,$AJ$1:$AK$3,2,FALSE)</f>
        <v>#N/A</v>
      </c>
      <c r="AL7" s="5" t="s">
        <v>170</v>
      </c>
      <c r="AM7" s="52" t="s">
        <v>75</v>
      </c>
      <c r="AN7" s="5" t="str">
        <f>IF(M26="",".",VLOOKUP(M26,$AL$1:$AM$21,2,FALSE))</f>
        <v>.</v>
      </c>
      <c r="AO7" s="5">
        <v>6</v>
      </c>
      <c r="AP7" s="5" t="e">
        <f t="shared" si="0"/>
        <v>#N/A</v>
      </c>
      <c r="AX7" s="5" t="s">
        <v>171</v>
      </c>
      <c r="AY7" s="52" t="s">
        <v>100</v>
      </c>
    </row>
    <row r="8" spans="1:57" ht="15.9" customHeight="1" x14ac:dyDescent="0.3">
      <c r="A8" s="32"/>
      <c r="B8" s="484"/>
      <c r="C8" s="491"/>
      <c r="D8" s="491"/>
      <c r="E8" s="491"/>
      <c r="F8" s="491"/>
      <c r="G8" s="492"/>
      <c r="H8" s="492"/>
      <c r="I8" s="492"/>
      <c r="J8" s="492"/>
      <c r="K8" s="493"/>
      <c r="L8" s="493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275"/>
      <c r="X8" s="496">
        <f>IFERROR(INDEX('Расчет фасадов'!$V$3:$V$12, B7)*$X$1,0)</f>
        <v>0</v>
      </c>
      <c r="Y8" s="496"/>
      <c r="Z8" s="497"/>
      <c r="AA8" s="402"/>
      <c r="AI8" s="5">
        <v>5</v>
      </c>
      <c r="AJ8" s="5" t="s">
        <v>40</v>
      </c>
      <c r="AK8" s="5" t="e">
        <f>VLOOKUP(C20,$AJ$1:$AK$3,2,FALSE)</f>
        <v>#N/A</v>
      </c>
      <c r="AL8" s="5" t="s">
        <v>171</v>
      </c>
      <c r="AM8" s="52" t="s">
        <v>100</v>
      </c>
      <c r="AN8" s="5" t="str">
        <f>IF(M29="",".",VLOOKUP(M29,$AL$1:$AM$21,2,FALSE))</f>
        <v>.</v>
      </c>
      <c r="AO8" s="5">
        <v>7</v>
      </c>
      <c r="AP8" s="5" t="e">
        <f t="shared" si="0"/>
        <v>#N/A</v>
      </c>
      <c r="AX8" s="5" t="s">
        <v>179</v>
      </c>
      <c r="AY8" s="5" t="s">
        <v>148</v>
      </c>
    </row>
    <row r="9" spans="1:57" ht="15.9" customHeight="1" x14ac:dyDescent="0.3">
      <c r="A9" s="32"/>
      <c r="B9" s="14"/>
      <c r="K9" s="5"/>
      <c r="L9" s="5"/>
      <c r="N9" s="5"/>
      <c r="V9" s="5"/>
      <c r="X9" s="10"/>
      <c r="Y9" s="10"/>
      <c r="Z9" s="440"/>
      <c r="AA9" s="402"/>
      <c r="AI9" s="5">
        <v>6</v>
      </c>
      <c r="AJ9" s="5" t="s">
        <v>40</v>
      </c>
      <c r="AK9" s="5" t="e">
        <f>VLOOKUP(C23,$AJ$1:$AK$3,2,FALSE)</f>
        <v>#N/A</v>
      </c>
      <c r="AL9" s="5" t="s">
        <v>179</v>
      </c>
      <c r="AM9" s="5" t="s">
        <v>148</v>
      </c>
      <c r="AN9" s="5" t="str">
        <f>IF(M32="",".",VLOOKUP(M32,$AL$1:$AM$21,2,FALSE))</f>
        <v>.</v>
      </c>
      <c r="AO9" s="5">
        <v>8</v>
      </c>
      <c r="AP9" s="5" t="e">
        <f t="shared" si="0"/>
        <v>#N/A</v>
      </c>
      <c r="AX9" s="5" t="s">
        <v>172</v>
      </c>
      <c r="AY9" s="52" t="s">
        <v>80</v>
      </c>
    </row>
    <row r="10" spans="1:57" ht="15.9" customHeight="1" x14ac:dyDescent="0.3">
      <c r="A10" s="32"/>
      <c r="B10" s="484">
        <v>2</v>
      </c>
      <c r="C10" s="490" t="s">
        <v>214</v>
      </c>
      <c r="D10" s="490"/>
      <c r="E10" s="490"/>
      <c r="F10" s="490"/>
      <c r="G10" s="490" t="s">
        <v>4</v>
      </c>
      <c r="H10" s="490"/>
      <c r="I10" s="490" t="s">
        <v>1</v>
      </c>
      <c r="J10" s="490"/>
      <c r="K10" s="490" t="s">
        <v>208</v>
      </c>
      <c r="L10" s="490"/>
      <c r="M10" s="490" t="s">
        <v>209</v>
      </c>
      <c r="N10" s="490"/>
      <c r="O10" s="490"/>
      <c r="P10" s="490"/>
      <c r="Q10" s="490" t="s">
        <v>387</v>
      </c>
      <c r="R10" s="490"/>
      <c r="S10" s="490"/>
      <c r="T10" s="490" t="s">
        <v>213</v>
      </c>
      <c r="U10" s="490"/>
      <c r="V10" s="490"/>
      <c r="W10" s="142" t="s">
        <v>8</v>
      </c>
      <c r="X10" s="494"/>
      <c r="Y10" s="494"/>
      <c r="Z10" s="495"/>
      <c r="AA10" s="402"/>
      <c r="AI10" s="5">
        <v>7</v>
      </c>
      <c r="AJ10" s="5" t="s">
        <v>40</v>
      </c>
      <c r="AK10" s="5" t="e">
        <f>VLOOKUP(C26,$AJ$1:$AK$3,2,FALSE)</f>
        <v>#N/A</v>
      </c>
      <c r="AL10" s="5" t="s">
        <v>172</v>
      </c>
      <c r="AM10" s="52" t="s">
        <v>80</v>
      </c>
      <c r="AN10" s="5" t="str">
        <f>IF(M35="",".",VLOOKUP(M35,$AL$1:$AM$21,2,FALSE))</f>
        <v>.</v>
      </c>
      <c r="AO10" s="5">
        <v>9</v>
      </c>
      <c r="AP10" s="5" t="e">
        <f t="shared" si="0"/>
        <v>#N/A</v>
      </c>
      <c r="AX10" s="5" t="s">
        <v>173</v>
      </c>
      <c r="AY10" s="52" t="s">
        <v>81</v>
      </c>
    </row>
    <row r="11" spans="1:57" ht="15.9" customHeight="1" x14ac:dyDescent="0.3">
      <c r="A11" s="32"/>
      <c r="B11" s="484"/>
      <c r="C11" s="491"/>
      <c r="D11" s="491"/>
      <c r="E11" s="491"/>
      <c r="F11" s="491"/>
      <c r="G11" s="492"/>
      <c r="H11" s="492"/>
      <c r="I11" s="492"/>
      <c r="J11" s="492"/>
      <c r="K11" s="493"/>
      <c r="L11" s="493"/>
      <c r="M11" s="491"/>
      <c r="N11" s="491"/>
      <c r="O11" s="491"/>
      <c r="P11" s="491"/>
      <c r="Q11" s="491"/>
      <c r="R11" s="491"/>
      <c r="S11" s="491"/>
      <c r="T11" s="491"/>
      <c r="U11" s="491"/>
      <c r="V11" s="491"/>
      <c r="W11" s="275"/>
      <c r="X11" s="496">
        <f>IFERROR(INDEX('Расчет фасадов'!$V$3:$V$12, B10)*$X$1,0)</f>
        <v>0</v>
      </c>
      <c r="Y11" s="496"/>
      <c r="Z11" s="497"/>
      <c r="AA11" s="402"/>
      <c r="AI11" s="5">
        <v>8</v>
      </c>
      <c r="AJ11" s="5" t="s">
        <v>40</v>
      </c>
      <c r="AK11" s="5" t="e">
        <f>VLOOKUP(C29,$AJ$1:$AK$3,2,FALSE)</f>
        <v>#N/A</v>
      </c>
      <c r="AL11" s="5" t="s">
        <v>173</v>
      </c>
      <c r="AM11" s="52" t="s">
        <v>81</v>
      </c>
      <c r="AO11" s="5">
        <v>10</v>
      </c>
      <c r="AP11" s="5" t="e">
        <f t="shared" si="0"/>
        <v>#N/A</v>
      </c>
      <c r="AX11" s="5" t="s">
        <v>159</v>
      </c>
      <c r="AY11" s="52" t="s">
        <v>82</v>
      </c>
    </row>
    <row r="12" spans="1:57" ht="15.9" customHeight="1" x14ac:dyDescent="0.3">
      <c r="A12" s="32"/>
      <c r="K12" s="5"/>
      <c r="L12" s="5"/>
      <c r="N12" s="5"/>
      <c r="V12" s="5"/>
      <c r="X12" s="10"/>
      <c r="Y12" s="10"/>
      <c r="Z12" s="440"/>
      <c r="AA12" s="402"/>
      <c r="AI12" s="5">
        <v>9</v>
      </c>
      <c r="AJ12" s="5" t="s">
        <v>40</v>
      </c>
      <c r="AK12" s="5" t="e">
        <f>VLOOKUP(C32,$AJ$1:$AK$3,2,FALSE)</f>
        <v>#N/A</v>
      </c>
      <c r="AL12" s="5" t="s">
        <v>302</v>
      </c>
      <c r="AM12" s="5" t="s">
        <v>303</v>
      </c>
      <c r="AX12" s="5" t="s">
        <v>160</v>
      </c>
      <c r="AY12" s="52" t="s">
        <v>83</v>
      </c>
    </row>
    <row r="13" spans="1:57" ht="15.9" customHeight="1" x14ac:dyDescent="0.3">
      <c r="A13" s="32"/>
      <c r="B13" s="484">
        <v>3</v>
      </c>
      <c r="C13" s="490" t="s">
        <v>214</v>
      </c>
      <c r="D13" s="490"/>
      <c r="E13" s="490"/>
      <c r="F13" s="490"/>
      <c r="G13" s="490" t="s">
        <v>4</v>
      </c>
      <c r="H13" s="490"/>
      <c r="I13" s="490" t="s">
        <v>1</v>
      </c>
      <c r="J13" s="490"/>
      <c r="K13" s="490" t="s">
        <v>208</v>
      </c>
      <c r="L13" s="490"/>
      <c r="M13" s="490" t="s">
        <v>209</v>
      </c>
      <c r="N13" s="490"/>
      <c r="O13" s="490"/>
      <c r="P13" s="490"/>
      <c r="Q13" s="490" t="s">
        <v>387</v>
      </c>
      <c r="R13" s="490"/>
      <c r="S13" s="490"/>
      <c r="T13" s="490" t="s">
        <v>213</v>
      </c>
      <c r="U13" s="490"/>
      <c r="V13" s="490"/>
      <c r="W13" s="142" t="s">
        <v>8</v>
      </c>
      <c r="X13" s="494"/>
      <c r="Y13" s="494"/>
      <c r="Z13" s="495"/>
      <c r="AA13" s="402"/>
      <c r="AI13" s="5">
        <v>10</v>
      </c>
      <c r="AJ13" s="5" t="s">
        <v>40</v>
      </c>
      <c r="AK13" s="5" t="e">
        <f>VLOOKUP(C35,$AJ$1:$AK$3,2,FALSE)</f>
        <v>#N/A</v>
      </c>
      <c r="AL13" s="5" t="s">
        <v>160</v>
      </c>
      <c r="AM13" s="52" t="s">
        <v>83</v>
      </c>
      <c r="AX13" s="5" t="s">
        <v>161</v>
      </c>
      <c r="AY13" s="52" t="s">
        <v>84</v>
      </c>
    </row>
    <row r="14" spans="1:57" ht="15.9" customHeight="1" x14ac:dyDescent="0.3">
      <c r="A14" s="32"/>
      <c r="B14" s="484"/>
      <c r="C14" s="491"/>
      <c r="D14" s="491"/>
      <c r="E14" s="491"/>
      <c r="F14" s="491"/>
      <c r="G14" s="492"/>
      <c r="H14" s="492"/>
      <c r="I14" s="492"/>
      <c r="J14" s="492"/>
      <c r="K14" s="493"/>
      <c r="L14" s="493"/>
      <c r="M14" s="491"/>
      <c r="N14" s="491"/>
      <c r="O14" s="491"/>
      <c r="P14" s="491"/>
      <c r="Q14" s="491"/>
      <c r="R14" s="491"/>
      <c r="S14" s="491"/>
      <c r="T14" s="491"/>
      <c r="U14" s="491"/>
      <c r="V14" s="491"/>
      <c r="W14" s="275"/>
      <c r="X14" s="496">
        <f>IFERROR(INDEX('Расчет фасадов'!$V$3:$V$12, B13)*$X$1,0)</f>
        <v>0</v>
      </c>
      <c r="Y14" s="496"/>
      <c r="Z14" s="497"/>
      <c r="AA14" s="402"/>
      <c r="AJ14" s="15"/>
      <c r="AL14" s="5" t="s">
        <v>161</v>
      </c>
      <c r="AM14" s="52" t="s">
        <v>84</v>
      </c>
      <c r="AX14" s="5" t="s">
        <v>164</v>
      </c>
      <c r="AY14" s="5" t="s">
        <v>99</v>
      </c>
    </row>
    <row r="15" spans="1:57" ht="15.9" customHeight="1" x14ac:dyDescent="0.3">
      <c r="A15" s="32"/>
      <c r="K15" s="5"/>
      <c r="L15" s="5"/>
      <c r="N15" s="5"/>
      <c r="V15" s="5"/>
      <c r="Z15" s="31"/>
      <c r="AA15" s="402"/>
      <c r="AL15" s="5" t="s">
        <v>164</v>
      </c>
      <c r="AM15" s="5" t="s">
        <v>99</v>
      </c>
      <c r="AX15" s="5" t="s">
        <v>174</v>
      </c>
      <c r="AY15" s="52" t="s">
        <v>85</v>
      </c>
    </row>
    <row r="16" spans="1:57" ht="15.9" customHeight="1" x14ac:dyDescent="0.3">
      <c r="A16" s="32"/>
      <c r="B16" s="484">
        <v>4</v>
      </c>
      <c r="C16" s="490" t="s">
        <v>214</v>
      </c>
      <c r="D16" s="490"/>
      <c r="E16" s="490"/>
      <c r="F16" s="490"/>
      <c r="G16" s="490" t="s">
        <v>4</v>
      </c>
      <c r="H16" s="490"/>
      <c r="I16" s="490" t="s">
        <v>1</v>
      </c>
      <c r="J16" s="490"/>
      <c r="K16" s="490" t="s">
        <v>208</v>
      </c>
      <c r="L16" s="490"/>
      <c r="M16" s="490" t="s">
        <v>209</v>
      </c>
      <c r="N16" s="490"/>
      <c r="O16" s="490"/>
      <c r="P16" s="490"/>
      <c r="Q16" s="490" t="s">
        <v>387</v>
      </c>
      <c r="R16" s="490"/>
      <c r="S16" s="490"/>
      <c r="T16" s="490" t="s">
        <v>213</v>
      </c>
      <c r="U16" s="490"/>
      <c r="V16" s="490"/>
      <c r="W16" s="142" t="s">
        <v>8</v>
      </c>
      <c r="X16" s="494"/>
      <c r="Y16" s="494"/>
      <c r="Z16" s="495"/>
      <c r="AA16" s="402"/>
      <c r="AL16" s="5" t="s">
        <v>174</v>
      </c>
      <c r="AM16" s="52" t="s">
        <v>85</v>
      </c>
      <c r="AX16" s="5" t="s">
        <v>163</v>
      </c>
      <c r="AY16" s="52" t="s">
        <v>86</v>
      </c>
    </row>
    <row r="17" spans="1:51" ht="15.9" customHeight="1" x14ac:dyDescent="0.3">
      <c r="A17" s="32"/>
      <c r="B17" s="484"/>
      <c r="C17" s="491"/>
      <c r="D17" s="491"/>
      <c r="E17" s="491"/>
      <c r="F17" s="491"/>
      <c r="G17" s="492"/>
      <c r="H17" s="492"/>
      <c r="I17" s="492"/>
      <c r="J17" s="492"/>
      <c r="K17" s="493"/>
      <c r="L17" s="493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275"/>
      <c r="X17" s="496">
        <f>IFERROR(INDEX('Расчет фасадов'!$V$3:$V$12, B16)*$X$1,0)</f>
        <v>0</v>
      </c>
      <c r="Y17" s="496"/>
      <c r="Z17" s="497"/>
      <c r="AA17" s="402"/>
      <c r="AL17" s="5" t="s">
        <v>163</v>
      </c>
      <c r="AM17" s="52" t="s">
        <v>86</v>
      </c>
      <c r="AX17" s="5" t="s">
        <v>175</v>
      </c>
      <c r="AY17" s="52" t="s">
        <v>77</v>
      </c>
    </row>
    <row r="18" spans="1:51" ht="15.9" customHeight="1" x14ac:dyDescent="0.3">
      <c r="A18" s="32"/>
      <c r="K18" s="5"/>
      <c r="L18" s="5"/>
      <c r="N18" s="5"/>
      <c r="V18" s="5"/>
      <c r="Z18" s="31"/>
      <c r="AA18" s="402"/>
      <c r="AL18" s="5" t="s">
        <v>175</v>
      </c>
      <c r="AM18" s="52" t="s">
        <v>77</v>
      </c>
      <c r="AX18" s="5" t="s">
        <v>176</v>
      </c>
      <c r="AY18" s="52" t="s">
        <v>76</v>
      </c>
    </row>
    <row r="19" spans="1:51" ht="15.9" customHeight="1" x14ac:dyDescent="0.3">
      <c r="A19" s="32"/>
      <c r="B19" s="484">
        <v>5</v>
      </c>
      <c r="C19" s="490" t="s">
        <v>214</v>
      </c>
      <c r="D19" s="490"/>
      <c r="E19" s="490"/>
      <c r="F19" s="490"/>
      <c r="G19" s="490" t="s">
        <v>4</v>
      </c>
      <c r="H19" s="490"/>
      <c r="I19" s="490" t="s">
        <v>1</v>
      </c>
      <c r="J19" s="490"/>
      <c r="K19" s="490" t="s">
        <v>208</v>
      </c>
      <c r="L19" s="490"/>
      <c r="M19" s="490" t="s">
        <v>209</v>
      </c>
      <c r="N19" s="490"/>
      <c r="O19" s="490"/>
      <c r="P19" s="490"/>
      <c r="Q19" s="490" t="s">
        <v>387</v>
      </c>
      <c r="R19" s="490"/>
      <c r="S19" s="490"/>
      <c r="T19" s="490" t="s">
        <v>213</v>
      </c>
      <c r="U19" s="490"/>
      <c r="V19" s="490"/>
      <c r="W19" s="142" t="s">
        <v>8</v>
      </c>
      <c r="X19" s="494"/>
      <c r="Y19" s="494"/>
      <c r="Z19" s="495"/>
      <c r="AA19" s="402"/>
      <c r="AL19" s="5" t="s">
        <v>176</v>
      </c>
      <c r="AM19" s="52" t="s">
        <v>76</v>
      </c>
      <c r="AX19" s="5" t="s">
        <v>177</v>
      </c>
      <c r="AY19" s="52" t="s">
        <v>78</v>
      </c>
    </row>
    <row r="20" spans="1:51" ht="15.9" customHeight="1" x14ac:dyDescent="0.3">
      <c r="A20" s="32"/>
      <c r="B20" s="484"/>
      <c r="C20" s="491"/>
      <c r="D20" s="491"/>
      <c r="E20" s="491"/>
      <c r="F20" s="491"/>
      <c r="G20" s="492"/>
      <c r="H20" s="492"/>
      <c r="I20" s="492"/>
      <c r="J20" s="492"/>
      <c r="K20" s="493"/>
      <c r="L20" s="493"/>
      <c r="M20" s="491"/>
      <c r="N20" s="491"/>
      <c r="O20" s="491"/>
      <c r="P20" s="491"/>
      <c r="Q20" s="491"/>
      <c r="R20" s="491"/>
      <c r="S20" s="491"/>
      <c r="T20" s="491"/>
      <c r="U20" s="491"/>
      <c r="V20" s="491"/>
      <c r="W20" s="275"/>
      <c r="X20" s="496">
        <f>IFERROR(INDEX('Расчет фасадов'!$V$3:$V$12, B19)*$X$1,0)</f>
        <v>0</v>
      </c>
      <c r="Y20" s="496"/>
      <c r="Z20" s="497"/>
      <c r="AA20" s="402"/>
      <c r="AL20" s="5" t="s">
        <v>177</v>
      </c>
      <c r="AM20" s="52" t="s">
        <v>78</v>
      </c>
      <c r="AX20" s="5" t="s">
        <v>178</v>
      </c>
      <c r="AY20" s="52" t="s">
        <v>79</v>
      </c>
    </row>
    <row r="21" spans="1:51" ht="15.9" customHeight="1" x14ac:dyDescent="0.3">
      <c r="A21" s="32"/>
      <c r="K21" s="5"/>
      <c r="L21" s="5"/>
      <c r="N21" s="5"/>
      <c r="V21" s="5"/>
      <c r="Z21" s="31"/>
      <c r="AA21" s="402"/>
      <c r="AL21" s="5" t="s">
        <v>178</v>
      </c>
      <c r="AM21" s="52" t="s">
        <v>79</v>
      </c>
      <c r="AY21" s="53"/>
    </row>
    <row r="22" spans="1:51" ht="15.9" customHeight="1" x14ac:dyDescent="0.3">
      <c r="A22" s="32"/>
      <c r="B22" s="484">
        <v>6</v>
      </c>
      <c r="C22" s="490" t="s">
        <v>214</v>
      </c>
      <c r="D22" s="490"/>
      <c r="E22" s="490"/>
      <c r="F22" s="490"/>
      <c r="G22" s="490" t="s">
        <v>4</v>
      </c>
      <c r="H22" s="490"/>
      <c r="I22" s="490" t="s">
        <v>1</v>
      </c>
      <c r="J22" s="490"/>
      <c r="K22" s="490" t="s">
        <v>208</v>
      </c>
      <c r="L22" s="490"/>
      <c r="M22" s="490" t="s">
        <v>209</v>
      </c>
      <c r="N22" s="490"/>
      <c r="O22" s="490"/>
      <c r="P22" s="490"/>
      <c r="Q22" s="490" t="s">
        <v>387</v>
      </c>
      <c r="R22" s="490"/>
      <c r="S22" s="490"/>
      <c r="T22" s="490" t="s">
        <v>213</v>
      </c>
      <c r="U22" s="490"/>
      <c r="V22" s="490"/>
      <c r="W22" s="142" t="s">
        <v>8</v>
      </c>
      <c r="X22" s="494"/>
      <c r="Y22" s="494"/>
      <c r="Z22" s="495"/>
      <c r="AA22" s="402"/>
      <c r="AY22" s="53"/>
    </row>
    <row r="23" spans="1:51" ht="15.9" customHeight="1" x14ac:dyDescent="0.3">
      <c r="A23" s="32"/>
      <c r="B23" s="484"/>
      <c r="C23" s="491"/>
      <c r="D23" s="491"/>
      <c r="E23" s="491"/>
      <c r="F23" s="491"/>
      <c r="G23" s="492"/>
      <c r="H23" s="492"/>
      <c r="I23" s="492"/>
      <c r="J23" s="492"/>
      <c r="K23" s="493"/>
      <c r="L23" s="493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275"/>
      <c r="X23" s="496">
        <f>IFERROR(INDEX('Расчет фасадов'!$V$3:$V$12, B22)*$X$1,0)</f>
        <v>0</v>
      </c>
      <c r="Y23" s="496"/>
      <c r="Z23" s="497"/>
      <c r="AA23" s="402"/>
    </row>
    <row r="24" spans="1:51" ht="15.9" customHeight="1" x14ac:dyDescent="0.3">
      <c r="A24" s="32"/>
      <c r="K24" s="5"/>
      <c r="L24" s="5"/>
      <c r="N24" s="5"/>
      <c r="V24" s="5"/>
      <c r="Z24" s="31"/>
      <c r="AA24" s="402"/>
    </row>
    <row r="25" spans="1:51" ht="15.9" customHeight="1" x14ac:dyDescent="0.3">
      <c r="A25" s="32"/>
      <c r="B25" s="484">
        <v>7</v>
      </c>
      <c r="C25" s="490" t="s">
        <v>214</v>
      </c>
      <c r="D25" s="490"/>
      <c r="E25" s="490"/>
      <c r="F25" s="490"/>
      <c r="G25" s="490" t="s">
        <v>4</v>
      </c>
      <c r="H25" s="490"/>
      <c r="I25" s="490" t="s">
        <v>1</v>
      </c>
      <c r="J25" s="490"/>
      <c r="K25" s="490" t="s">
        <v>208</v>
      </c>
      <c r="L25" s="490"/>
      <c r="M25" s="490" t="s">
        <v>209</v>
      </c>
      <c r="N25" s="490"/>
      <c r="O25" s="490"/>
      <c r="P25" s="490"/>
      <c r="Q25" s="490" t="s">
        <v>387</v>
      </c>
      <c r="R25" s="490"/>
      <c r="S25" s="490"/>
      <c r="T25" s="490" t="s">
        <v>213</v>
      </c>
      <c r="U25" s="490"/>
      <c r="V25" s="490"/>
      <c r="W25" s="142" t="s">
        <v>8</v>
      </c>
      <c r="X25" s="494"/>
      <c r="Y25" s="494"/>
      <c r="Z25" s="495"/>
      <c r="AA25" s="402"/>
    </row>
    <row r="26" spans="1:51" ht="15.9" customHeight="1" x14ac:dyDescent="0.3">
      <c r="A26" s="32"/>
      <c r="B26" s="484"/>
      <c r="C26" s="491"/>
      <c r="D26" s="491"/>
      <c r="E26" s="491"/>
      <c r="F26" s="491"/>
      <c r="G26" s="492"/>
      <c r="H26" s="492"/>
      <c r="I26" s="492"/>
      <c r="J26" s="492"/>
      <c r="K26" s="493"/>
      <c r="L26" s="493"/>
      <c r="M26" s="491"/>
      <c r="N26" s="491"/>
      <c r="O26" s="491"/>
      <c r="P26" s="491"/>
      <c r="Q26" s="491"/>
      <c r="R26" s="491"/>
      <c r="S26" s="491"/>
      <c r="T26" s="491"/>
      <c r="U26" s="491"/>
      <c r="V26" s="491"/>
      <c r="W26" s="275"/>
      <c r="X26" s="496">
        <f>IFERROR(INDEX('Расчет фасадов'!$V$3:$V$12, B25)*$X$1,0)</f>
        <v>0</v>
      </c>
      <c r="Y26" s="496"/>
      <c r="Z26" s="497"/>
      <c r="AA26" s="402"/>
    </row>
    <row r="27" spans="1:51" ht="15.9" customHeight="1" x14ac:dyDescent="0.3">
      <c r="A27" s="32"/>
      <c r="K27" s="5"/>
      <c r="L27" s="5"/>
      <c r="N27" s="5"/>
      <c r="V27" s="5"/>
      <c r="Z27" s="31"/>
      <c r="AA27" s="402"/>
    </row>
    <row r="28" spans="1:51" ht="15.9" customHeight="1" x14ac:dyDescent="0.3">
      <c r="A28" s="32"/>
      <c r="B28" s="484">
        <v>8</v>
      </c>
      <c r="C28" s="490" t="s">
        <v>214</v>
      </c>
      <c r="D28" s="490"/>
      <c r="E28" s="490"/>
      <c r="F28" s="490"/>
      <c r="G28" s="490" t="s">
        <v>4</v>
      </c>
      <c r="H28" s="490"/>
      <c r="I28" s="490" t="s">
        <v>1</v>
      </c>
      <c r="J28" s="490"/>
      <c r="K28" s="490" t="s">
        <v>208</v>
      </c>
      <c r="L28" s="490"/>
      <c r="M28" s="490" t="s">
        <v>209</v>
      </c>
      <c r="N28" s="490"/>
      <c r="O28" s="490"/>
      <c r="P28" s="490"/>
      <c r="Q28" s="490" t="s">
        <v>387</v>
      </c>
      <c r="R28" s="490"/>
      <c r="S28" s="490"/>
      <c r="T28" s="490" t="s">
        <v>213</v>
      </c>
      <c r="U28" s="490"/>
      <c r="V28" s="490"/>
      <c r="W28" s="142" t="s">
        <v>8</v>
      </c>
      <c r="X28" s="494"/>
      <c r="Y28" s="494"/>
      <c r="Z28" s="495"/>
      <c r="AA28" s="402"/>
    </row>
    <row r="29" spans="1:51" ht="15.9" customHeight="1" x14ac:dyDescent="0.3">
      <c r="A29" s="32"/>
      <c r="B29" s="484"/>
      <c r="C29" s="491"/>
      <c r="D29" s="491"/>
      <c r="E29" s="491"/>
      <c r="F29" s="491"/>
      <c r="G29" s="492"/>
      <c r="H29" s="492"/>
      <c r="I29" s="492"/>
      <c r="J29" s="492"/>
      <c r="K29" s="493"/>
      <c r="L29" s="493"/>
      <c r="M29" s="491"/>
      <c r="N29" s="491"/>
      <c r="O29" s="491"/>
      <c r="P29" s="491"/>
      <c r="Q29" s="491"/>
      <c r="R29" s="491"/>
      <c r="S29" s="491"/>
      <c r="T29" s="491"/>
      <c r="U29" s="491"/>
      <c r="V29" s="491"/>
      <c r="W29" s="275"/>
      <c r="X29" s="496">
        <f>IFERROR(INDEX('Расчет фасадов'!$V$3:$V$12, B28)*$X$1,0)</f>
        <v>0</v>
      </c>
      <c r="Y29" s="496"/>
      <c r="Z29" s="497"/>
      <c r="AA29" s="402"/>
    </row>
    <row r="30" spans="1:51" ht="15.9" customHeight="1" x14ac:dyDescent="0.3">
      <c r="A30" s="32"/>
      <c r="K30" s="5"/>
      <c r="L30" s="5"/>
      <c r="N30" s="5"/>
      <c r="V30" s="5"/>
      <c r="Z30" s="31"/>
      <c r="AA30" s="402"/>
    </row>
    <row r="31" spans="1:51" ht="15.9" customHeight="1" x14ac:dyDescent="0.3">
      <c r="A31" s="32"/>
      <c r="B31" s="484">
        <v>9</v>
      </c>
      <c r="C31" s="490" t="s">
        <v>214</v>
      </c>
      <c r="D31" s="490"/>
      <c r="E31" s="490"/>
      <c r="F31" s="490"/>
      <c r="G31" s="490" t="s">
        <v>4</v>
      </c>
      <c r="H31" s="490"/>
      <c r="I31" s="490" t="s">
        <v>1</v>
      </c>
      <c r="J31" s="490"/>
      <c r="K31" s="490" t="s">
        <v>208</v>
      </c>
      <c r="L31" s="490"/>
      <c r="M31" s="490" t="s">
        <v>209</v>
      </c>
      <c r="N31" s="490"/>
      <c r="O31" s="490"/>
      <c r="P31" s="490"/>
      <c r="Q31" s="490" t="s">
        <v>387</v>
      </c>
      <c r="R31" s="490"/>
      <c r="S31" s="490"/>
      <c r="T31" s="490" t="s">
        <v>213</v>
      </c>
      <c r="U31" s="490"/>
      <c r="V31" s="490"/>
      <c r="W31" s="142" t="s">
        <v>8</v>
      </c>
      <c r="X31" s="494"/>
      <c r="Y31" s="494"/>
      <c r="Z31" s="495"/>
      <c r="AA31" s="402"/>
    </row>
    <row r="32" spans="1:51" ht="15.9" customHeight="1" x14ac:dyDescent="0.3">
      <c r="A32" s="32"/>
      <c r="B32" s="484"/>
      <c r="C32" s="491"/>
      <c r="D32" s="491"/>
      <c r="E32" s="491"/>
      <c r="F32" s="491"/>
      <c r="G32" s="492"/>
      <c r="H32" s="492"/>
      <c r="I32" s="492"/>
      <c r="J32" s="492"/>
      <c r="K32" s="493"/>
      <c r="L32" s="493"/>
      <c r="M32" s="491"/>
      <c r="N32" s="491"/>
      <c r="O32" s="491"/>
      <c r="P32" s="491"/>
      <c r="Q32" s="491"/>
      <c r="R32" s="491"/>
      <c r="S32" s="491"/>
      <c r="T32" s="491"/>
      <c r="U32" s="491"/>
      <c r="V32" s="491"/>
      <c r="W32" s="275"/>
      <c r="X32" s="496">
        <f>IFERROR(INDEX('Расчет фасадов'!$V$3:$V$12, B31)*$X$1,0)</f>
        <v>0</v>
      </c>
      <c r="Y32" s="496"/>
      <c r="Z32" s="497"/>
      <c r="AA32" s="402"/>
    </row>
    <row r="33" spans="1:27" ht="15.9" customHeight="1" x14ac:dyDescent="0.3">
      <c r="A33" s="32"/>
      <c r="K33" s="5"/>
      <c r="L33" s="5"/>
      <c r="N33" s="5"/>
      <c r="V33" s="5"/>
      <c r="Z33" s="31"/>
      <c r="AA33" s="402"/>
    </row>
    <row r="34" spans="1:27" ht="15.9" customHeight="1" x14ac:dyDescent="0.3">
      <c r="A34" s="441"/>
      <c r="B34" s="484">
        <v>10</v>
      </c>
      <c r="C34" s="490" t="s">
        <v>214</v>
      </c>
      <c r="D34" s="490"/>
      <c r="E34" s="490"/>
      <c r="F34" s="490"/>
      <c r="G34" s="490" t="s">
        <v>4</v>
      </c>
      <c r="H34" s="490"/>
      <c r="I34" s="490" t="s">
        <v>1</v>
      </c>
      <c r="J34" s="490"/>
      <c r="K34" s="490" t="s">
        <v>208</v>
      </c>
      <c r="L34" s="490"/>
      <c r="M34" s="490" t="s">
        <v>209</v>
      </c>
      <c r="N34" s="490"/>
      <c r="O34" s="490"/>
      <c r="P34" s="490"/>
      <c r="Q34" s="490" t="s">
        <v>387</v>
      </c>
      <c r="R34" s="490"/>
      <c r="S34" s="490"/>
      <c r="T34" s="490" t="s">
        <v>213</v>
      </c>
      <c r="U34" s="490"/>
      <c r="V34" s="490"/>
      <c r="W34" s="142" t="s">
        <v>8</v>
      </c>
      <c r="X34" s="494"/>
      <c r="Y34" s="494"/>
      <c r="Z34" s="495"/>
      <c r="AA34" s="402"/>
    </row>
    <row r="35" spans="1:27" ht="15.9" customHeight="1" x14ac:dyDescent="0.3">
      <c r="A35" s="441"/>
      <c r="B35" s="484"/>
      <c r="C35" s="491"/>
      <c r="D35" s="491"/>
      <c r="E35" s="491"/>
      <c r="F35" s="491"/>
      <c r="G35" s="492"/>
      <c r="H35" s="492"/>
      <c r="I35" s="492"/>
      <c r="J35" s="492"/>
      <c r="K35" s="493"/>
      <c r="L35" s="493"/>
      <c r="M35" s="491"/>
      <c r="N35" s="491"/>
      <c r="O35" s="491"/>
      <c r="P35" s="491"/>
      <c r="Q35" s="491"/>
      <c r="R35" s="491"/>
      <c r="S35" s="491"/>
      <c r="T35" s="491"/>
      <c r="U35" s="491"/>
      <c r="V35" s="491"/>
      <c r="W35" s="275"/>
      <c r="X35" s="496">
        <f>IFERROR(INDEX('Расчет фасадов'!$V$3:$V$12, B34)*$X$1,0)</f>
        <v>0</v>
      </c>
      <c r="Y35" s="496"/>
      <c r="Z35" s="497"/>
      <c r="AA35" s="402"/>
    </row>
    <row r="36" spans="1:27" ht="15.9" customHeight="1" x14ac:dyDescent="0.3">
      <c r="A36" s="441"/>
      <c r="K36" s="5"/>
      <c r="L36" s="402"/>
      <c r="M36" s="402"/>
      <c r="N36" s="402"/>
      <c r="O36" s="402"/>
      <c r="P36" s="402"/>
      <c r="Q36" s="402"/>
      <c r="R36" s="402"/>
      <c r="S36" s="402"/>
      <c r="T36" s="402"/>
      <c r="U36" s="402"/>
      <c r="V36" s="446"/>
      <c r="W36" s="402"/>
      <c r="X36" s="402"/>
      <c r="Y36" s="402"/>
      <c r="Z36" s="447"/>
      <c r="AA36" s="402"/>
    </row>
    <row r="37" spans="1:27" ht="15.9" customHeight="1" x14ac:dyDescent="0.3">
      <c r="A37" s="32"/>
      <c r="B37" s="36"/>
      <c r="C37" s="36"/>
      <c r="K37" s="5"/>
      <c r="L37" s="5"/>
      <c r="M37" s="10"/>
      <c r="N37" s="1"/>
      <c r="Z37" s="31"/>
    </row>
    <row r="38" spans="1:27" ht="15.9" customHeight="1" x14ac:dyDescent="0.35">
      <c r="A38" s="442"/>
      <c r="B38" s="513" t="s">
        <v>685</v>
      </c>
      <c r="C38" s="513"/>
      <c r="D38" s="513"/>
      <c r="E38" s="513"/>
      <c r="F38" s="434"/>
      <c r="G38" s="514" t="s">
        <v>6</v>
      </c>
      <c r="H38" s="515"/>
      <c r="I38" s="431" t="s">
        <v>17</v>
      </c>
      <c r="J38" s="516" t="s">
        <v>27</v>
      </c>
      <c r="K38" s="516"/>
      <c r="L38" s="516"/>
      <c r="M38" s="434"/>
      <c r="N38" s="516" t="s">
        <v>19</v>
      </c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517"/>
    </row>
    <row r="39" spans="1:27" ht="15.9" customHeight="1" x14ac:dyDescent="0.3">
      <c r="A39" s="442"/>
      <c r="B39" s="498" t="s">
        <v>262</v>
      </c>
      <c r="C39" s="499"/>
      <c r="D39" s="499"/>
      <c r="E39" s="499"/>
      <c r="F39" s="500"/>
      <c r="G39" s="504">
        <f>SUM(X8,X11,X14,X17,X20,X23,X26,X29,X32,X35)</f>
        <v>0</v>
      </c>
      <c r="H39" s="505"/>
      <c r="I39" s="508">
        <v>0</v>
      </c>
      <c r="J39" s="510">
        <f>ROUNDUP(G39-G39*I39,0)</f>
        <v>0</v>
      </c>
      <c r="K39" s="510"/>
      <c r="L39" s="510"/>
      <c r="M39" s="434"/>
      <c r="N39" s="511"/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511"/>
      <c r="Z39" s="512"/>
    </row>
    <row r="40" spans="1:27" ht="15.9" customHeight="1" x14ac:dyDescent="0.3">
      <c r="A40" s="442"/>
      <c r="B40" s="501"/>
      <c r="C40" s="502"/>
      <c r="D40" s="502"/>
      <c r="E40" s="502"/>
      <c r="F40" s="503"/>
      <c r="G40" s="506"/>
      <c r="H40" s="507"/>
      <c r="I40" s="509"/>
      <c r="J40" s="510"/>
      <c r="K40" s="510"/>
      <c r="L40" s="510"/>
      <c r="M40" s="443"/>
      <c r="N40" s="511"/>
      <c r="O40" s="511"/>
      <c r="P40" s="511"/>
      <c r="Q40" s="511"/>
      <c r="R40" s="511"/>
      <c r="S40" s="511"/>
      <c r="T40" s="511"/>
      <c r="U40" s="511"/>
      <c r="V40" s="511"/>
      <c r="W40" s="511"/>
      <c r="X40" s="511"/>
      <c r="Y40" s="511"/>
      <c r="Z40" s="512"/>
    </row>
    <row r="41" spans="1:27" ht="15.9" customHeight="1" x14ac:dyDescent="0.3">
      <c r="A41" s="442"/>
      <c r="M41" s="434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2"/>
    </row>
    <row r="42" spans="1:27" ht="15.9" customHeight="1" x14ac:dyDescent="0.3">
      <c r="A42" s="442"/>
      <c r="B42" s="43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34"/>
      <c r="N42" s="541"/>
      <c r="O42" s="541"/>
      <c r="P42" s="541"/>
      <c r="Q42" s="541"/>
      <c r="R42" s="541"/>
      <c r="S42" s="541"/>
      <c r="T42" s="541"/>
      <c r="U42" s="541"/>
      <c r="V42" s="541"/>
      <c r="W42" s="541"/>
      <c r="X42" s="541"/>
      <c r="Y42" s="541"/>
      <c r="Z42" s="542"/>
    </row>
    <row r="43" spans="1:27" ht="15.9" customHeight="1" x14ac:dyDescent="0.35">
      <c r="A43" s="442"/>
      <c r="B43" s="51"/>
      <c r="J43" s="10"/>
      <c r="K43" s="5"/>
      <c r="L43" s="5"/>
      <c r="M43" s="434"/>
      <c r="N43" s="444"/>
      <c r="O43" s="444"/>
      <c r="P43" s="434"/>
      <c r="Q43" s="434"/>
      <c r="R43" s="434"/>
      <c r="S43" s="434"/>
      <c r="T43" s="434"/>
      <c r="U43" s="434"/>
      <c r="V43" s="434"/>
      <c r="W43" s="434"/>
      <c r="X43" s="434"/>
      <c r="Y43" s="434"/>
      <c r="Z43" s="417"/>
    </row>
    <row r="44" spans="1:27" ht="15.9" customHeight="1" x14ac:dyDescent="0.3">
      <c r="A44" s="442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434"/>
      <c r="N44" s="518" t="s">
        <v>20</v>
      </c>
      <c r="O44" s="519"/>
      <c r="P44" s="528"/>
      <c r="Q44" s="529"/>
      <c r="R44" s="529"/>
      <c r="S44" s="529"/>
      <c r="T44" s="529"/>
      <c r="U44" s="529"/>
      <c r="V44" s="529"/>
      <c r="W44" s="529"/>
      <c r="X44" s="529"/>
      <c r="Y44" s="529"/>
      <c r="Z44" s="543"/>
    </row>
    <row r="45" spans="1:27" ht="15.9" customHeight="1" x14ac:dyDescent="0.3">
      <c r="A45" s="442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434"/>
      <c r="N45" s="520"/>
      <c r="O45" s="521"/>
      <c r="P45" s="531"/>
      <c r="Q45" s="532"/>
      <c r="R45" s="532"/>
      <c r="S45" s="532"/>
      <c r="T45" s="532"/>
      <c r="U45" s="532"/>
      <c r="V45" s="532"/>
      <c r="W45" s="532"/>
      <c r="X45" s="532"/>
      <c r="Y45" s="532"/>
      <c r="Z45" s="544"/>
    </row>
    <row r="46" spans="1:27" ht="15.9" customHeight="1" x14ac:dyDescent="0.3">
      <c r="A46" s="44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434"/>
      <c r="N46" s="518" t="s">
        <v>21</v>
      </c>
      <c r="O46" s="519"/>
      <c r="P46" s="528"/>
      <c r="Q46" s="529"/>
      <c r="R46" s="529"/>
      <c r="S46" s="529"/>
      <c r="T46" s="529"/>
      <c r="U46" s="529"/>
      <c r="V46" s="529"/>
      <c r="W46" s="529"/>
      <c r="X46" s="529"/>
      <c r="Y46" s="529"/>
      <c r="Z46" s="543"/>
    </row>
    <row r="47" spans="1:27" ht="15.9" customHeight="1" x14ac:dyDescent="0.3">
      <c r="A47" s="44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434"/>
      <c r="N47" s="520"/>
      <c r="O47" s="521"/>
      <c r="P47" s="531"/>
      <c r="Q47" s="532"/>
      <c r="R47" s="532"/>
      <c r="S47" s="532"/>
      <c r="T47" s="532"/>
      <c r="U47" s="532"/>
      <c r="V47" s="532"/>
      <c r="W47" s="532"/>
      <c r="X47" s="532"/>
      <c r="Y47" s="532"/>
      <c r="Z47" s="544"/>
    </row>
    <row r="48" spans="1:27" ht="15.9" customHeight="1" x14ac:dyDescent="0.3">
      <c r="A48" s="44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445"/>
      <c r="N48" s="518" t="s">
        <v>22</v>
      </c>
      <c r="O48" s="519"/>
      <c r="P48" s="528"/>
      <c r="Q48" s="529"/>
      <c r="R48" s="529"/>
      <c r="S48" s="530"/>
      <c r="T48" s="518" t="s">
        <v>38</v>
      </c>
      <c r="U48" s="519"/>
      <c r="V48" s="522"/>
      <c r="W48" s="523"/>
      <c r="X48" s="523"/>
      <c r="Y48" s="523"/>
      <c r="Z48" s="524"/>
    </row>
    <row r="49" spans="1:26" ht="15.9" customHeight="1" x14ac:dyDescent="0.3">
      <c r="A49" s="44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434"/>
      <c r="N49" s="520"/>
      <c r="O49" s="521"/>
      <c r="P49" s="531"/>
      <c r="Q49" s="532"/>
      <c r="R49" s="532"/>
      <c r="S49" s="533"/>
      <c r="T49" s="520"/>
      <c r="U49" s="521"/>
      <c r="V49" s="525"/>
      <c r="W49" s="526"/>
      <c r="X49" s="526"/>
      <c r="Y49" s="526"/>
      <c r="Z49" s="527"/>
    </row>
    <row r="50" spans="1:26" ht="15.9" customHeight="1" x14ac:dyDescent="0.3">
      <c r="A50" s="44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434"/>
      <c r="N50" s="518" t="s">
        <v>23</v>
      </c>
      <c r="O50" s="519"/>
      <c r="P50" s="528"/>
      <c r="Q50" s="529"/>
      <c r="R50" s="529"/>
      <c r="S50" s="530"/>
      <c r="T50" s="534" t="s">
        <v>24</v>
      </c>
      <c r="U50" s="535"/>
      <c r="V50" s="522"/>
      <c r="W50" s="523"/>
      <c r="X50" s="523"/>
      <c r="Y50" s="523"/>
      <c r="Z50" s="524"/>
    </row>
    <row r="51" spans="1:26" ht="15.9" customHeight="1" x14ac:dyDescent="0.3">
      <c r="A51" s="44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434"/>
      <c r="N51" s="520"/>
      <c r="O51" s="521"/>
      <c r="P51" s="531"/>
      <c r="Q51" s="532"/>
      <c r="R51" s="532"/>
      <c r="S51" s="533"/>
      <c r="T51" s="536"/>
      <c r="U51" s="537"/>
      <c r="V51" s="538"/>
      <c r="W51" s="539"/>
      <c r="X51" s="539"/>
      <c r="Y51" s="539"/>
      <c r="Z51" s="540"/>
    </row>
    <row r="52" spans="1:26" ht="15.9" customHeight="1" x14ac:dyDescent="0.3">
      <c r="A52" s="44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434"/>
      <c r="N52" s="534" t="s">
        <v>25</v>
      </c>
      <c r="O52" s="535"/>
      <c r="P52" s="528"/>
      <c r="Q52" s="529"/>
      <c r="R52" s="529"/>
      <c r="S52" s="529"/>
      <c r="T52" s="529"/>
      <c r="U52" s="530"/>
      <c r="V52" s="538"/>
      <c r="W52" s="539"/>
      <c r="X52" s="539"/>
      <c r="Y52" s="539"/>
      <c r="Z52" s="540"/>
    </row>
    <row r="53" spans="1:26" ht="15.9" customHeight="1" x14ac:dyDescent="0.3">
      <c r="A53" s="442"/>
      <c r="K53" s="5"/>
      <c r="L53" s="5"/>
      <c r="M53" s="434"/>
      <c r="N53" s="536"/>
      <c r="O53" s="537"/>
      <c r="P53" s="531"/>
      <c r="Q53" s="532"/>
      <c r="R53" s="532"/>
      <c r="S53" s="532"/>
      <c r="T53" s="532"/>
      <c r="U53" s="533"/>
      <c r="V53" s="525"/>
      <c r="W53" s="526"/>
      <c r="X53" s="526"/>
      <c r="Y53" s="526"/>
      <c r="Z53" s="527"/>
    </row>
    <row r="54" spans="1:26" ht="15.9" customHeight="1" x14ac:dyDescent="0.3">
      <c r="A54" s="442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Z54" s="31"/>
    </row>
    <row r="55" spans="1:26" ht="15.9" customHeight="1" x14ac:dyDescent="0.3">
      <c r="A55" s="469" t="s">
        <v>26</v>
      </c>
      <c r="B55" s="470"/>
      <c r="C55" s="470"/>
      <c r="D55" s="470"/>
      <c r="E55" s="470"/>
      <c r="F55" s="470"/>
      <c r="G55" s="470"/>
      <c r="H55" s="470"/>
      <c r="I55" s="470"/>
      <c r="J55" s="470"/>
      <c r="K55" s="470"/>
      <c r="L55" s="470"/>
      <c r="M55" s="470"/>
      <c r="N55" s="470"/>
      <c r="O55" s="470"/>
      <c r="P55" s="470"/>
      <c r="Q55" s="470"/>
      <c r="R55" s="470"/>
      <c r="S55" s="470"/>
      <c r="T55" s="470"/>
      <c r="U55" s="470"/>
      <c r="V55" s="470"/>
      <c r="W55" s="470"/>
      <c r="X55" s="470"/>
      <c r="Y55" s="470"/>
      <c r="Z55" s="471"/>
    </row>
    <row r="56" spans="1:26" ht="15.9" customHeight="1" thickBot="1" x14ac:dyDescent="0.35">
      <c r="A56" s="472"/>
      <c r="B56" s="473"/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3"/>
      <c r="U56" s="473"/>
      <c r="V56" s="473"/>
      <c r="W56" s="473"/>
      <c r="X56" s="473"/>
      <c r="Y56" s="473"/>
      <c r="Z56" s="474"/>
    </row>
    <row r="57" spans="1:26" ht="15.9" customHeight="1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26" ht="15.9" customHeight="1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26" ht="15.9" customHeight="1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26" ht="15.9" customHeight="1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26" ht="15.9" customHeight="1" x14ac:dyDescent="0.3">
      <c r="A61" s="9"/>
    </row>
    <row r="62" spans="1:26" ht="15.9" customHeight="1" x14ac:dyDescent="0.3">
      <c r="A62" s="9"/>
    </row>
    <row r="63" spans="1:26" ht="15.9" customHeight="1" x14ac:dyDescent="0.3">
      <c r="A63" s="9"/>
    </row>
    <row r="64" spans="1:26" ht="15.9" customHeight="1" x14ac:dyDescent="0.3">
      <c r="A64" s="9"/>
    </row>
    <row r="65" spans="1:1" ht="15.9" customHeight="1" x14ac:dyDescent="0.3">
      <c r="A65" s="9"/>
    </row>
    <row r="66" spans="1:1" ht="15.9" customHeight="1" x14ac:dyDescent="0.3">
      <c r="A66" s="9"/>
    </row>
    <row r="67" spans="1:1" ht="15.9" customHeight="1" x14ac:dyDescent="0.3">
      <c r="A67" s="9"/>
    </row>
    <row r="68" spans="1:1" ht="15.9" customHeight="1" x14ac:dyDescent="0.3">
      <c r="A68" s="9"/>
    </row>
    <row r="69" spans="1:1" ht="15.9" customHeight="1" x14ac:dyDescent="0.3">
      <c r="A69" s="9"/>
    </row>
    <row r="70" spans="1:1" ht="15.9" customHeight="1" x14ac:dyDescent="0.3">
      <c r="A70" s="9"/>
    </row>
    <row r="71" spans="1:1" ht="15.9" customHeight="1" x14ac:dyDescent="0.3">
      <c r="A71" s="9"/>
    </row>
    <row r="72" spans="1:1" ht="15.9" customHeight="1" x14ac:dyDescent="0.3">
      <c r="A72" s="9"/>
    </row>
    <row r="73" spans="1:1" ht="15.9" customHeight="1" x14ac:dyDescent="0.3">
      <c r="A73" s="9"/>
    </row>
    <row r="74" spans="1:1" ht="15.9" customHeight="1" x14ac:dyDescent="0.3">
      <c r="A74" s="9"/>
    </row>
    <row r="75" spans="1:1" ht="15.9" customHeight="1" x14ac:dyDescent="0.3">
      <c r="A75" s="9"/>
    </row>
    <row r="76" spans="1:1" ht="15.9" customHeight="1" x14ac:dyDescent="0.3">
      <c r="A76" s="9"/>
    </row>
    <row r="77" spans="1:1" ht="15.9" customHeight="1" x14ac:dyDescent="0.3">
      <c r="A77" s="9"/>
    </row>
    <row r="78" spans="1:1" ht="15.9" customHeight="1" x14ac:dyDescent="0.3">
      <c r="A78" s="9"/>
    </row>
    <row r="79" spans="1:1" ht="15.9" customHeight="1" x14ac:dyDescent="0.3">
      <c r="A79" s="9"/>
    </row>
    <row r="80" spans="1:1" ht="15.9" customHeight="1" x14ac:dyDescent="0.3">
      <c r="A80" s="9"/>
    </row>
    <row r="81" spans="1:1" x14ac:dyDescent="0.3">
      <c r="A81" s="9"/>
    </row>
    <row r="82" spans="1:1" x14ac:dyDescent="0.3">
      <c r="A82" s="9"/>
    </row>
    <row r="83" spans="1:1" x14ac:dyDescent="0.3">
      <c r="A83" s="9"/>
    </row>
    <row r="84" spans="1:1" x14ac:dyDescent="0.3">
      <c r="A84" s="9"/>
    </row>
    <row r="85" spans="1:1" x14ac:dyDescent="0.3">
      <c r="A85" s="9"/>
    </row>
    <row r="86" spans="1:1" x14ac:dyDescent="0.3">
      <c r="A86" s="9"/>
    </row>
    <row r="87" spans="1:1" x14ac:dyDescent="0.3">
      <c r="A87" s="9"/>
    </row>
    <row r="88" spans="1:1" x14ac:dyDescent="0.3">
      <c r="A88" s="9"/>
    </row>
    <row r="89" spans="1:1" x14ac:dyDescent="0.3">
      <c r="A89" s="9"/>
    </row>
    <row r="90" spans="1:1" x14ac:dyDescent="0.3">
      <c r="A90" s="9"/>
    </row>
    <row r="91" spans="1:1" x14ac:dyDescent="0.3">
      <c r="A91" s="9"/>
    </row>
    <row r="92" spans="1:1" x14ac:dyDescent="0.3">
      <c r="A92" s="9"/>
    </row>
    <row r="93" spans="1:1" x14ac:dyDescent="0.3">
      <c r="A93" s="9"/>
    </row>
    <row r="94" spans="1:1" x14ac:dyDescent="0.3">
      <c r="A94" s="9"/>
    </row>
    <row r="95" spans="1:1" x14ac:dyDescent="0.3">
      <c r="A95" s="9"/>
    </row>
    <row r="96" spans="1:1" x14ac:dyDescent="0.3">
      <c r="A96" s="9"/>
    </row>
    <row r="97" spans="1:1" x14ac:dyDescent="0.3">
      <c r="A97" s="9"/>
    </row>
    <row r="98" spans="1:1" x14ac:dyDescent="0.3">
      <c r="A98" s="9"/>
    </row>
    <row r="99" spans="1:1" x14ac:dyDescent="0.3">
      <c r="A99" s="9"/>
    </row>
    <row r="100" spans="1:1" x14ac:dyDescent="0.3">
      <c r="A100" s="9"/>
    </row>
    <row r="101" spans="1:1" x14ac:dyDescent="0.3">
      <c r="A101" s="9"/>
    </row>
    <row r="102" spans="1:1" x14ac:dyDescent="0.3">
      <c r="A102" s="9"/>
    </row>
    <row r="103" spans="1:1" x14ac:dyDescent="0.3">
      <c r="A103" s="9"/>
    </row>
    <row r="104" spans="1:1" x14ac:dyDescent="0.3">
      <c r="A104" s="9"/>
    </row>
    <row r="105" spans="1:1" x14ac:dyDescent="0.3">
      <c r="A105" s="9"/>
    </row>
    <row r="106" spans="1:1" x14ac:dyDescent="0.3">
      <c r="A106" s="9"/>
    </row>
    <row r="107" spans="1:1" x14ac:dyDescent="0.3">
      <c r="A107" s="9"/>
    </row>
    <row r="108" spans="1:1" x14ac:dyDescent="0.3">
      <c r="A108" s="9"/>
    </row>
    <row r="109" spans="1:1" x14ac:dyDescent="0.3">
      <c r="A109" s="9"/>
    </row>
    <row r="110" spans="1:1" x14ac:dyDescent="0.3">
      <c r="A110" s="9"/>
    </row>
    <row r="111" spans="1:1" x14ac:dyDescent="0.3">
      <c r="A111" s="9"/>
    </row>
    <row r="112" spans="1:1" x14ac:dyDescent="0.3">
      <c r="A112" s="9"/>
    </row>
    <row r="113" spans="1:1" x14ac:dyDescent="0.3">
      <c r="A113" s="9"/>
    </row>
    <row r="114" spans="1:1" x14ac:dyDescent="0.3">
      <c r="A114" s="9"/>
    </row>
    <row r="115" spans="1:1" x14ac:dyDescent="0.3">
      <c r="A115" s="9"/>
    </row>
    <row r="116" spans="1:1" x14ac:dyDescent="0.3">
      <c r="A116" s="9"/>
    </row>
    <row r="117" spans="1:1" x14ac:dyDescent="0.3">
      <c r="A117" s="9"/>
    </row>
    <row r="118" spans="1:1" x14ac:dyDescent="0.3">
      <c r="A118" s="9"/>
    </row>
    <row r="119" spans="1:1" x14ac:dyDescent="0.3">
      <c r="A119" s="9"/>
    </row>
    <row r="120" spans="1:1" x14ac:dyDescent="0.3">
      <c r="A120" s="9"/>
    </row>
    <row r="121" spans="1:1" x14ac:dyDescent="0.3">
      <c r="A121" s="9"/>
    </row>
    <row r="122" spans="1:1" x14ac:dyDescent="0.3">
      <c r="A122" s="9"/>
    </row>
    <row r="123" spans="1:1" x14ac:dyDescent="0.3">
      <c r="A123" s="9"/>
    </row>
    <row r="124" spans="1:1" x14ac:dyDescent="0.3">
      <c r="A124" s="9"/>
    </row>
    <row r="125" spans="1:1" x14ac:dyDescent="0.3">
      <c r="A125" s="9"/>
    </row>
    <row r="126" spans="1:1" x14ac:dyDescent="0.3">
      <c r="A126" s="9"/>
    </row>
    <row r="127" spans="1:1" x14ac:dyDescent="0.3">
      <c r="A127" s="9"/>
    </row>
    <row r="128" spans="1:1" x14ac:dyDescent="0.3">
      <c r="A128" s="9"/>
    </row>
    <row r="129" spans="1:1" x14ac:dyDescent="0.3">
      <c r="A129" s="9"/>
    </row>
    <row r="130" spans="1:1" x14ac:dyDescent="0.3">
      <c r="A130" s="9"/>
    </row>
    <row r="131" spans="1:1" x14ac:dyDescent="0.3">
      <c r="A131" s="9"/>
    </row>
    <row r="132" spans="1:1" x14ac:dyDescent="0.3">
      <c r="A132" s="9"/>
    </row>
    <row r="133" spans="1:1" x14ac:dyDescent="0.3">
      <c r="A133" s="9"/>
    </row>
    <row r="134" spans="1:1" x14ac:dyDescent="0.3">
      <c r="A134" s="9"/>
    </row>
    <row r="135" spans="1:1" x14ac:dyDescent="0.3">
      <c r="A135" s="9"/>
    </row>
    <row r="136" spans="1:1" x14ac:dyDescent="0.3">
      <c r="A136" s="9"/>
    </row>
    <row r="137" spans="1:1" x14ac:dyDescent="0.3">
      <c r="A137" s="9"/>
    </row>
    <row r="138" spans="1:1" x14ac:dyDescent="0.3">
      <c r="A138" s="9"/>
    </row>
    <row r="139" spans="1:1" x14ac:dyDescent="0.3">
      <c r="A139" s="9"/>
    </row>
    <row r="140" spans="1:1" x14ac:dyDescent="0.3">
      <c r="A140" s="9"/>
    </row>
    <row r="141" spans="1:1" x14ac:dyDescent="0.3">
      <c r="A141" s="9"/>
    </row>
    <row r="142" spans="1:1" x14ac:dyDescent="0.3">
      <c r="A142" s="9"/>
    </row>
    <row r="143" spans="1:1" x14ac:dyDescent="0.3">
      <c r="A143" s="9"/>
    </row>
    <row r="144" spans="1:1" x14ac:dyDescent="0.3">
      <c r="A144" s="9"/>
    </row>
    <row r="145" spans="1:1" x14ac:dyDescent="0.3">
      <c r="A145" s="9"/>
    </row>
    <row r="146" spans="1:1" x14ac:dyDescent="0.3">
      <c r="A146" s="9"/>
    </row>
    <row r="147" spans="1:1" x14ac:dyDescent="0.3">
      <c r="A147" s="9"/>
    </row>
    <row r="148" spans="1:1" x14ac:dyDescent="0.3">
      <c r="A148" s="9"/>
    </row>
    <row r="149" spans="1:1" x14ac:dyDescent="0.3">
      <c r="A149" s="9"/>
    </row>
    <row r="150" spans="1:1" x14ac:dyDescent="0.3">
      <c r="A150" s="9"/>
    </row>
    <row r="151" spans="1:1" x14ac:dyDescent="0.3">
      <c r="A151" s="9"/>
    </row>
    <row r="152" spans="1:1" x14ac:dyDescent="0.3">
      <c r="A152" s="9"/>
    </row>
    <row r="153" spans="1:1" x14ac:dyDescent="0.3">
      <c r="A153" s="9"/>
    </row>
    <row r="154" spans="1:1" x14ac:dyDescent="0.3">
      <c r="A154" s="9"/>
    </row>
    <row r="155" spans="1:1" x14ac:dyDescent="0.3">
      <c r="A155" s="9"/>
    </row>
    <row r="156" spans="1:1" x14ac:dyDescent="0.3">
      <c r="A156" s="9"/>
    </row>
    <row r="157" spans="1:1" x14ac:dyDescent="0.3">
      <c r="A157" s="9"/>
    </row>
    <row r="158" spans="1:1" x14ac:dyDescent="0.3">
      <c r="A158" s="9"/>
    </row>
    <row r="159" spans="1:1" x14ac:dyDescent="0.3">
      <c r="A159" s="9"/>
    </row>
    <row r="160" spans="1:1" x14ac:dyDescent="0.3">
      <c r="A160" s="9"/>
    </row>
    <row r="161" spans="1:1" x14ac:dyDescent="0.3">
      <c r="A161" s="9"/>
    </row>
    <row r="162" spans="1:1" x14ac:dyDescent="0.3">
      <c r="A162" s="9"/>
    </row>
    <row r="163" spans="1:1" x14ac:dyDescent="0.3">
      <c r="A163" s="9"/>
    </row>
    <row r="164" spans="1:1" x14ac:dyDescent="0.3">
      <c r="A164" s="9"/>
    </row>
    <row r="165" spans="1:1" x14ac:dyDescent="0.3">
      <c r="A165" s="9"/>
    </row>
    <row r="166" spans="1:1" x14ac:dyDescent="0.3">
      <c r="A166" s="9"/>
    </row>
    <row r="167" spans="1:1" x14ac:dyDescent="0.3">
      <c r="A167" s="9"/>
    </row>
    <row r="168" spans="1:1" x14ac:dyDescent="0.3">
      <c r="A168" s="9"/>
    </row>
    <row r="169" spans="1:1" x14ac:dyDescent="0.3">
      <c r="A169" s="9"/>
    </row>
    <row r="170" spans="1:1" x14ac:dyDescent="0.3">
      <c r="A170" s="9"/>
    </row>
    <row r="171" spans="1:1" x14ac:dyDescent="0.3">
      <c r="A171" s="9"/>
    </row>
    <row r="172" spans="1:1" x14ac:dyDescent="0.3">
      <c r="A172" s="9"/>
    </row>
    <row r="173" spans="1:1" x14ac:dyDescent="0.3">
      <c r="A173" s="9"/>
    </row>
    <row r="174" spans="1:1" x14ac:dyDescent="0.3">
      <c r="A174" s="9"/>
    </row>
    <row r="175" spans="1:1" x14ac:dyDescent="0.3">
      <c r="A175" s="9"/>
    </row>
    <row r="176" spans="1:1" x14ac:dyDescent="0.3">
      <c r="A176" s="9"/>
    </row>
    <row r="177" spans="1:1" x14ac:dyDescent="0.3">
      <c r="A177" s="9"/>
    </row>
    <row r="178" spans="1:1" x14ac:dyDescent="0.3">
      <c r="A178" s="9"/>
    </row>
    <row r="179" spans="1:1" x14ac:dyDescent="0.3">
      <c r="A179" s="9"/>
    </row>
    <row r="180" spans="1:1" x14ac:dyDescent="0.3">
      <c r="A180" s="9"/>
    </row>
    <row r="181" spans="1:1" x14ac:dyDescent="0.3">
      <c r="A181" s="9"/>
    </row>
    <row r="182" spans="1:1" x14ac:dyDescent="0.3">
      <c r="A182" s="9"/>
    </row>
    <row r="183" spans="1:1" x14ac:dyDescent="0.3">
      <c r="A183" s="9"/>
    </row>
    <row r="184" spans="1:1" x14ac:dyDescent="0.3">
      <c r="A184" s="9"/>
    </row>
    <row r="185" spans="1:1" x14ac:dyDescent="0.3">
      <c r="A185" s="9"/>
    </row>
    <row r="186" spans="1:1" x14ac:dyDescent="0.3">
      <c r="A186" s="9"/>
    </row>
    <row r="187" spans="1:1" x14ac:dyDescent="0.3">
      <c r="A187" s="9"/>
    </row>
    <row r="188" spans="1:1" x14ac:dyDescent="0.3">
      <c r="A188" s="9"/>
    </row>
    <row r="189" spans="1:1" x14ac:dyDescent="0.3">
      <c r="A189" s="9"/>
    </row>
    <row r="190" spans="1:1" x14ac:dyDescent="0.3">
      <c r="A190" s="9"/>
    </row>
    <row r="191" spans="1:1" x14ac:dyDescent="0.3">
      <c r="A191" s="9"/>
    </row>
    <row r="192" spans="1:1" x14ac:dyDescent="0.3">
      <c r="A192" s="9"/>
    </row>
    <row r="193" spans="1:1" x14ac:dyDescent="0.3">
      <c r="A193" s="9"/>
    </row>
    <row r="194" spans="1:1" x14ac:dyDescent="0.3">
      <c r="A194" s="9"/>
    </row>
    <row r="195" spans="1:1" x14ac:dyDescent="0.3">
      <c r="A195" s="9"/>
    </row>
    <row r="196" spans="1:1" x14ac:dyDescent="0.3">
      <c r="A196" s="9"/>
    </row>
    <row r="197" spans="1:1" x14ac:dyDescent="0.3">
      <c r="A197" s="9"/>
    </row>
    <row r="198" spans="1:1" x14ac:dyDescent="0.3">
      <c r="A198" s="9"/>
    </row>
    <row r="199" spans="1:1" x14ac:dyDescent="0.3">
      <c r="A199" s="9"/>
    </row>
    <row r="200" spans="1:1" x14ac:dyDescent="0.3">
      <c r="A200" s="9"/>
    </row>
    <row r="201" spans="1:1" x14ac:dyDescent="0.3">
      <c r="A201" s="9"/>
    </row>
    <row r="202" spans="1:1" x14ac:dyDescent="0.3">
      <c r="A202" s="9"/>
    </row>
    <row r="203" spans="1:1" x14ac:dyDescent="0.3">
      <c r="A203" s="9"/>
    </row>
    <row r="204" spans="1:1" x14ac:dyDescent="0.3">
      <c r="A204" s="9"/>
    </row>
    <row r="205" spans="1:1" x14ac:dyDescent="0.3">
      <c r="A205" s="9"/>
    </row>
    <row r="206" spans="1:1" x14ac:dyDescent="0.3">
      <c r="A206" s="9"/>
    </row>
    <row r="207" spans="1:1" x14ac:dyDescent="0.3">
      <c r="A207" s="9"/>
    </row>
    <row r="208" spans="1:1" x14ac:dyDescent="0.3">
      <c r="A208" s="9"/>
    </row>
    <row r="209" spans="1:55" x14ac:dyDescent="0.3">
      <c r="A209" s="9"/>
    </row>
    <row r="210" spans="1:55" x14ac:dyDescent="0.3">
      <c r="A210" s="9"/>
    </row>
    <row r="211" spans="1:55" x14ac:dyDescent="0.3">
      <c r="A211" s="9"/>
    </row>
    <row r="212" spans="1:55" x14ac:dyDescent="0.3">
      <c r="A212" s="9"/>
    </row>
    <row r="213" spans="1:55" x14ac:dyDescent="0.3">
      <c r="A213" s="9"/>
    </row>
    <row r="214" spans="1:55" x14ac:dyDescent="0.3">
      <c r="A214" s="9"/>
    </row>
    <row r="215" spans="1:55" x14ac:dyDescent="0.3">
      <c r="A215" s="9"/>
    </row>
    <row r="216" spans="1:55" x14ac:dyDescent="0.3">
      <c r="A216" s="9"/>
    </row>
    <row r="222" spans="1:55" x14ac:dyDescent="0.3">
      <c r="V222" s="5"/>
      <c r="AB222" s="17"/>
    </row>
    <row r="223" spans="1:55" x14ac:dyDescent="0.3">
      <c r="V223" s="5"/>
      <c r="AB223" s="17"/>
      <c r="AM223" s="5" t="s">
        <v>39</v>
      </c>
    </row>
    <row r="224" spans="1:55" x14ac:dyDescent="0.3">
      <c r="V224" s="5"/>
      <c r="AB224" s="17"/>
      <c r="AC224" s="17" t="s">
        <v>9</v>
      </c>
      <c r="AD224" s="5" t="str">
        <f>""</f>
        <v/>
      </c>
      <c r="AF224" s="17" t="s">
        <v>9</v>
      </c>
      <c r="AG224" s="5" t="s">
        <v>4</v>
      </c>
      <c r="AH224" s="5" t="s">
        <v>1</v>
      </c>
      <c r="AJ224" s="5" t="s">
        <v>9</v>
      </c>
      <c r="AK224" s="26"/>
      <c r="BC224" s="5" t="b">
        <v>0</v>
      </c>
    </row>
    <row r="225" spans="22:45" ht="43.2" x14ac:dyDescent="0.3">
      <c r="V225" s="5"/>
      <c r="AC225" s="28" t="s">
        <v>87</v>
      </c>
      <c r="AD225" s="5">
        <v>1</v>
      </c>
      <c r="AF225" s="28" t="s">
        <v>87</v>
      </c>
      <c r="AG225" s="5" t="e">
        <f>G13-2</f>
        <v>#VALUE!</v>
      </c>
      <c r="AH225" s="27">
        <f>ROUNDDOWN(IF(G8=AF225,G15-2,(G15-4)/2),0)</f>
        <v>-2</v>
      </c>
      <c r="AI225" s="27"/>
      <c r="AJ225" s="28" t="s">
        <v>87</v>
      </c>
      <c r="AK225" s="29"/>
      <c r="AM225" s="11">
        <f>G15+39</f>
        <v>39</v>
      </c>
      <c r="AN225" s="11"/>
      <c r="AS225" s="28"/>
    </row>
    <row r="226" spans="22:45" ht="43.2" x14ac:dyDescent="0.3">
      <c r="V226" s="5"/>
      <c r="AC226" s="28" t="s">
        <v>88</v>
      </c>
      <c r="AD226" s="5">
        <v>2</v>
      </c>
      <c r="AF226" s="28" t="s">
        <v>88</v>
      </c>
      <c r="AJ226" s="28" t="s">
        <v>88</v>
      </c>
      <c r="AK226" s="26"/>
      <c r="AM226" s="11">
        <f>(G15+39)/2</f>
        <v>19.5</v>
      </c>
      <c r="AN226" s="11"/>
      <c r="AS226" s="28"/>
    </row>
    <row r="227" spans="22:45" x14ac:dyDescent="0.3">
      <c r="V227" s="5"/>
      <c r="AJ227" s="28"/>
      <c r="AK227" s="26"/>
      <c r="AM227" s="11"/>
      <c r="AN227" s="11"/>
      <c r="AS227" s="28"/>
    </row>
    <row r="228" spans="22:45" x14ac:dyDescent="0.3">
      <c r="V228" s="5"/>
      <c r="Y228" s="28"/>
      <c r="AB228" s="28"/>
      <c r="AJ228" s="28"/>
      <c r="AM228" s="27"/>
      <c r="AN228" s="27"/>
    </row>
    <row r="229" spans="22:45" x14ac:dyDescent="0.3">
      <c r="Y229" s="28"/>
      <c r="AB229" s="28"/>
      <c r="AJ229" s="28"/>
      <c r="AN229" s="27"/>
    </row>
    <row r="230" spans="22:45" x14ac:dyDescent="0.3">
      <c r="Y230" s="28"/>
      <c r="AB230" s="28"/>
    </row>
    <row r="231" spans="22:45" x14ac:dyDescent="0.3">
      <c r="AE231" s="27"/>
    </row>
    <row r="232" spans="22:45" x14ac:dyDescent="0.3">
      <c r="AE232" s="27"/>
    </row>
    <row r="256" spans="44:44" ht="18" x14ac:dyDescent="0.35">
      <c r="AR256" s="51" t="s">
        <v>103</v>
      </c>
    </row>
  </sheetData>
  <sheetProtection algorithmName="SHA-512" hashValue="b652eVV2BzhvWHuUZFLIGxAd6aDDAVAwXxZSx2L5h0e/mn7ueY+vuQGRubmL1LN8OdfFGC1nMcoR9njTCJ8Ylw==" saltValue="sTnz1+Plcpr215GYmJ/yLQ==" spinCount="100000" sheet="1" selectLockedCells="1"/>
  <dataConsolidate/>
  <mergeCells count="200">
    <mergeCell ref="T48:U49"/>
    <mergeCell ref="V48:Z49"/>
    <mergeCell ref="N50:O51"/>
    <mergeCell ref="P50:S51"/>
    <mergeCell ref="T50:U51"/>
    <mergeCell ref="V50:Z53"/>
    <mergeCell ref="N52:O53"/>
    <mergeCell ref="P52:U53"/>
    <mergeCell ref="N41:Z42"/>
    <mergeCell ref="N44:O45"/>
    <mergeCell ref="P44:Z45"/>
    <mergeCell ref="N46:O47"/>
    <mergeCell ref="P46:Z47"/>
    <mergeCell ref="N48:O49"/>
    <mergeCell ref="P48:S49"/>
    <mergeCell ref="B39:F40"/>
    <mergeCell ref="G39:H40"/>
    <mergeCell ref="I39:I40"/>
    <mergeCell ref="J39:L40"/>
    <mergeCell ref="N39:Z40"/>
    <mergeCell ref="X34:Z34"/>
    <mergeCell ref="X35:Z35"/>
    <mergeCell ref="B38:E38"/>
    <mergeCell ref="G38:H38"/>
    <mergeCell ref="J38:L38"/>
    <mergeCell ref="N38:Z38"/>
    <mergeCell ref="M34:P34"/>
    <mergeCell ref="M35:P35"/>
    <mergeCell ref="X29:Z29"/>
    <mergeCell ref="X31:Z31"/>
    <mergeCell ref="X32:Z32"/>
    <mergeCell ref="X25:Z25"/>
    <mergeCell ref="X26:Z26"/>
    <mergeCell ref="X28:Z28"/>
    <mergeCell ref="X19:Z19"/>
    <mergeCell ref="X20:Z20"/>
    <mergeCell ref="X22:Z22"/>
    <mergeCell ref="X23:Z23"/>
    <mergeCell ref="T32:V32"/>
    <mergeCell ref="T34:V34"/>
    <mergeCell ref="T35:V35"/>
    <mergeCell ref="X7:Z7"/>
    <mergeCell ref="X8:Z8"/>
    <mergeCell ref="X10:Z10"/>
    <mergeCell ref="X11:Z11"/>
    <mergeCell ref="X13:Z13"/>
    <mergeCell ref="X14:Z14"/>
    <mergeCell ref="X16:Z16"/>
    <mergeCell ref="X17:Z17"/>
    <mergeCell ref="T28:V28"/>
    <mergeCell ref="T29:V29"/>
    <mergeCell ref="T31:V31"/>
    <mergeCell ref="T22:V22"/>
    <mergeCell ref="T23:V23"/>
    <mergeCell ref="T25:V25"/>
    <mergeCell ref="T26:V26"/>
    <mergeCell ref="T17:V17"/>
    <mergeCell ref="T19:V19"/>
    <mergeCell ref="T20:V20"/>
    <mergeCell ref="T13:V13"/>
    <mergeCell ref="T14:V14"/>
    <mergeCell ref="T16:V16"/>
    <mergeCell ref="T7:V7"/>
    <mergeCell ref="T8:V8"/>
    <mergeCell ref="T10:V10"/>
    <mergeCell ref="T11:V11"/>
    <mergeCell ref="Q31:S31"/>
    <mergeCell ref="Q32:S32"/>
    <mergeCell ref="Q34:S34"/>
    <mergeCell ref="Q35:S35"/>
    <mergeCell ref="Q26:S26"/>
    <mergeCell ref="Q28:S28"/>
    <mergeCell ref="Q29:S29"/>
    <mergeCell ref="Q22:S22"/>
    <mergeCell ref="Q23:S23"/>
    <mergeCell ref="Q25:S25"/>
    <mergeCell ref="Q7:S7"/>
    <mergeCell ref="Q8:S8"/>
    <mergeCell ref="Q10:S10"/>
    <mergeCell ref="Q11:S11"/>
    <mergeCell ref="Q13:S13"/>
    <mergeCell ref="Q14:S14"/>
    <mergeCell ref="Q16:S16"/>
    <mergeCell ref="Q17:S17"/>
    <mergeCell ref="Q19:S19"/>
    <mergeCell ref="Q20:S20"/>
    <mergeCell ref="M29:P29"/>
    <mergeCell ref="M31:P31"/>
    <mergeCell ref="M32:P32"/>
    <mergeCell ref="M25:P25"/>
    <mergeCell ref="M26:P26"/>
    <mergeCell ref="M28:P28"/>
    <mergeCell ref="M19:P19"/>
    <mergeCell ref="M20:P20"/>
    <mergeCell ref="M22:P22"/>
    <mergeCell ref="M23:P23"/>
    <mergeCell ref="K32:L32"/>
    <mergeCell ref="K34:L34"/>
    <mergeCell ref="K35:L35"/>
    <mergeCell ref="M7:P7"/>
    <mergeCell ref="M8:P8"/>
    <mergeCell ref="M10:P10"/>
    <mergeCell ref="M11:P11"/>
    <mergeCell ref="M13:P13"/>
    <mergeCell ref="M14:P14"/>
    <mergeCell ref="M16:P16"/>
    <mergeCell ref="M17:P17"/>
    <mergeCell ref="K28:L28"/>
    <mergeCell ref="K29:L29"/>
    <mergeCell ref="K31:L31"/>
    <mergeCell ref="K22:L22"/>
    <mergeCell ref="K23:L23"/>
    <mergeCell ref="K25:L25"/>
    <mergeCell ref="K26:L26"/>
    <mergeCell ref="K17:L17"/>
    <mergeCell ref="K19:L19"/>
    <mergeCell ref="K20:L20"/>
    <mergeCell ref="K13:L13"/>
    <mergeCell ref="K14:L14"/>
    <mergeCell ref="K16:L16"/>
    <mergeCell ref="K7:L7"/>
    <mergeCell ref="K8:L8"/>
    <mergeCell ref="K10:L10"/>
    <mergeCell ref="K11:L11"/>
    <mergeCell ref="I28:J28"/>
    <mergeCell ref="I29:J29"/>
    <mergeCell ref="I31:J31"/>
    <mergeCell ref="I22:J22"/>
    <mergeCell ref="I23:J23"/>
    <mergeCell ref="I25:J25"/>
    <mergeCell ref="I26:J26"/>
    <mergeCell ref="I17:J17"/>
    <mergeCell ref="I19:J19"/>
    <mergeCell ref="I20:J20"/>
    <mergeCell ref="I13:J13"/>
    <mergeCell ref="I14:J14"/>
    <mergeCell ref="I16:J16"/>
    <mergeCell ref="I7:J7"/>
    <mergeCell ref="I8:J8"/>
    <mergeCell ref="I10:J10"/>
    <mergeCell ref="I11:J11"/>
    <mergeCell ref="G7:H7"/>
    <mergeCell ref="G8:H8"/>
    <mergeCell ref="G10:H10"/>
    <mergeCell ref="G11:H11"/>
    <mergeCell ref="C29:F29"/>
    <mergeCell ref="C31:F31"/>
    <mergeCell ref="G28:H28"/>
    <mergeCell ref="G29:H29"/>
    <mergeCell ref="G31:H31"/>
    <mergeCell ref="G22:H22"/>
    <mergeCell ref="G23:H23"/>
    <mergeCell ref="G25:H25"/>
    <mergeCell ref="G26:H26"/>
    <mergeCell ref="G17:H17"/>
    <mergeCell ref="G19:H19"/>
    <mergeCell ref="G20:H20"/>
    <mergeCell ref="C19:F19"/>
    <mergeCell ref="C20:F20"/>
    <mergeCell ref="C22:F22"/>
    <mergeCell ref="C23:F23"/>
    <mergeCell ref="C14:F14"/>
    <mergeCell ref="C16:F16"/>
    <mergeCell ref="C17:F17"/>
    <mergeCell ref="G13:H13"/>
    <mergeCell ref="G14:H14"/>
    <mergeCell ref="G16:H16"/>
    <mergeCell ref="G34:H34"/>
    <mergeCell ref="G35:H35"/>
    <mergeCell ref="I32:J32"/>
    <mergeCell ref="I34:J34"/>
    <mergeCell ref="I35:J35"/>
    <mergeCell ref="C32:F32"/>
    <mergeCell ref="C25:F25"/>
    <mergeCell ref="C26:F26"/>
    <mergeCell ref="C28:F28"/>
    <mergeCell ref="A55:Z56"/>
    <mergeCell ref="V1:V2"/>
    <mergeCell ref="W2:Y2"/>
    <mergeCell ref="M3:P4"/>
    <mergeCell ref="B7:B8"/>
    <mergeCell ref="B10:B11"/>
    <mergeCell ref="B13:B14"/>
    <mergeCell ref="B16:B17"/>
    <mergeCell ref="B19:B20"/>
    <mergeCell ref="B22:B23"/>
    <mergeCell ref="B25:B26"/>
    <mergeCell ref="B28:B29"/>
    <mergeCell ref="E1:K4"/>
    <mergeCell ref="M1:P2"/>
    <mergeCell ref="C7:F7"/>
    <mergeCell ref="C8:F8"/>
    <mergeCell ref="C10:F10"/>
    <mergeCell ref="C11:F11"/>
    <mergeCell ref="C13:F13"/>
    <mergeCell ref="B31:B32"/>
    <mergeCell ref="B34:B35"/>
    <mergeCell ref="C34:F34"/>
    <mergeCell ref="C35:F35"/>
    <mergeCell ref="G32:H32"/>
  </mergeCells>
  <dataValidations count="8">
    <dataValidation type="list" allowBlank="1" showInputMessage="1" showErrorMessage="1" sqref="K8 K11 K14 K17 K20 K23 K26 K29 K32 K35" xr:uid="{00000000-0002-0000-0300-000000000000}">
      <formula1>стороны</formula1>
    </dataValidation>
    <dataValidation type="list" allowBlank="1" showInputMessage="1" showErrorMessage="1" sqref="T8 T35 T32 T29 T26 T23 T20 T17 T14 T11" xr:uid="{00000000-0002-0000-0300-000001000000}">
      <formula1>петли</formula1>
    </dataValidation>
    <dataValidation type="decimal" allowBlank="1" showInputMessage="1" showErrorMessage="1" errorTitle="Внимание!" error="Минимальный кн-т = 1" sqref="X1" xr:uid="{4ABB613E-8DD2-4352-9266-457ACF93CFF8}">
      <formula1>1</formula1>
      <formula2>2</formula2>
    </dataValidation>
    <dataValidation type="list" allowBlank="1" showInputMessage="1" showErrorMessage="1" sqref="U1" xr:uid="{756F8EB1-835C-4A55-BC6D-541D382A60C5}">
      <formula1>"общий, ира"</formula1>
    </dataValidation>
    <dataValidation type="list" allowBlank="1" showInputMessage="1" showErrorMessage="1" sqref="V1" xr:uid="{98DCFB0A-6807-4669-91AB-D8499BE66914}">
      <formula1>"П.П.,П.К."</formula1>
    </dataValidation>
    <dataValidation type="list" allowBlank="1" showInputMessage="1" showErrorMessage="1" sqref="M8:P8 M11:P11 M14:P14 M17:P17 M20:P20 M23:P23 M26:P26 M29:P29 M32:P32 M35:P35" xr:uid="{78A39804-E987-4852-B524-C016FF929CA5}">
      <formula1>INDIRECT("Вставки[вставка]")</formula1>
    </dataValidation>
    <dataValidation type="whole" allowBlank="1" showInputMessage="1" showErrorMessage="1" error="Смотри ограничения_x000a_Только целое число" sqref="G8:H8 G11:H11 G14:H14 G17:H17 G20:H20 G23:H23 G26:H26 G29:H29 G32:H32 G35:H35" xr:uid="{9BE2B449-ED90-4DD0-87CB-A2A3F9462830}">
      <formula1>0</formula1>
      <formula2>2000</formula2>
    </dataValidation>
    <dataValidation type="whole" allowBlank="1" showInputMessage="1" showErrorMessage="1" error="Смотри ограничения_x000a_Только целое число" sqref="I8:J8 I11:J11 I14:J14 I17:J17 I20:J20 I23:J23 I26:J26 I29:J29 I32:J32 I35:J35" xr:uid="{40E1C391-841D-4B67-9D31-CCE5BF456F38}">
      <formula1>210</formula1>
      <formula2>600</formula2>
    </dataValidation>
  </dataValidations>
  <printOptions horizontalCentered="1"/>
  <pageMargins left="0.70866141732283472" right="0.39370078740157483" top="0.39370078740157483" bottom="0.39370078740157483" header="0" footer="0"/>
  <pageSetup paperSize="9" scale="4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300-000006000000}">
          <x14:formula1>
            <xm:f>OFFSET(БД!$AA$2, MATCH($C$8, БД!$Z$3:$Z$6, 0), 0, COUNTIF(БД!$Z$3:$Z$6, $C$8), 1)</xm:f>
          </x14:formula1>
          <xm:sqref>Q8</xm:sqref>
        </x14:dataValidation>
        <x14:dataValidation type="list" allowBlank="1" showInputMessage="1" showErrorMessage="1" xr:uid="{00000000-0002-0000-0300-000007000000}">
          <x14:formula1>
            <xm:f>OFFSET(БД!$AA$2, MATCH($C$11, БД!$Z$3:$Z$6, 0), 0, COUNTIF(БД!$Z$3:$Z$6, $C$11), 1)</xm:f>
          </x14:formula1>
          <xm:sqref>Q11</xm:sqref>
        </x14:dataValidation>
        <x14:dataValidation type="list" allowBlank="1" showInputMessage="1" showErrorMessage="1" xr:uid="{00000000-0002-0000-0300-000008000000}">
          <x14:formula1>
            <xm:f>OFFSET(БД!$AA$2, MATCH($C$14, БД!$Z$3:$Z$6, 0), 0, COUNTIF(БД!$Z$3:$Z$6, $C$14), 1)</xm:f>
          </x14:formula1>
          <xm:sqref>Q14</xm:sqref>
        </x14:dataValidation>
        <x14:dataValidation type="list" allowBlank="1" showInputMessage="1" showErrorMessage="1" xr:uid="{00000000-0002-0000-0300-000009000000}">
          <x14:formula1>
            <xm:f>OFFSET(БД!$AA$2, MATCH($C$17, БД!$Z$3:$Z$6, 0), 0, COUNTIF(БД!$Z$3:$Z$6, $C$17), 1)</xm:f>
          </x14:formula1>
          <xm:sqref>Q17</xm:sqref>
        </x14:dataValidation>
        <x14:dataValidation type="list" allowBlank="1" showInputMessage="1" showErrorMessage="1" xr:uid="{00000000-0002-0000-0300-00000A000000}">
          <x14:formula1>
            <xm:f>OFFSET(БД!$AA$2, MATCH($C$20, БД!$Z$3:$Z$6, 0), 0, COUNTIF(БД!$Z$3:$Z$6, $C$20), 1)</xm:f>
          </x14:formula1>
          <xm:sqref>Q20</xm:sqref>
        </x14:dataValidation>
        <x14:dataValidation type="list" allowBlank="1" showInputMessage="1" showErrorMessage="1" xr:uid="{00000000-0002-0000-0300-00000B000000}">
          <x14:formula1>
            <xm:f>OFFSET(БД!$AA$2, MATCH($C$23, БД!$Z$3:$Z$6, 0), 0, COUNTIF(БД!$Z$3:$Z$6, $C$23), 1)</xm:f>
          </x14:formula1>
          <xm:sqref>Q23</xm:sqref>
        </x14:dataValidation>
        <x14:dataValidation type="list" allowBlank="1" showInputMessage="1" showErrorMessage="1" xr:uid="{00000000-0002-0000-0300-00000C000000}">
          <x14:formula1>
            <xm:f>OFFSET(БД!$AA$2, MATCH($C$26, БД!$Z$3:$Z$6, 0), 0, COUNTIF(БД!$Z$3:$Z$6, $C$26), 1)</xm:f>
          </x14:formula1>
          <xm:sqref>Q26</xm:sqref>
        </x14:dataValidation>
        <x14:dataValidation type="list" allowBlank="1" showInputMessage="1" showErrorMessage="1" xr:uid="{00000000-0002-0000-0300-00000D000000}">
          <x14:formula1>
            <xm:f>OFFSET(БД!$AA$2, MATCH($C$29, БД!$Z$3:$Z$6, 0), 0, COUNTIF(БД!$Z$3:$Z$6, $C$29), 1)</xm:f>
          </x14:formula1>
          <xm:sqref>Q29</xm:sqref>
        </x14:dataValidation>
        <x14:dataValidation type="list" allowBlank="1" showInputMessage="1" showErrorMessage="1" xr:uid="{00000000-0002-0000-0300-00000E000000}">
          <x14:formula1>
            <xm:f>OFFSET(БД!$AA$2, MATCH($C$32, БД!$Z$3:$Z$6, 0), 0, COUNTIF(БД!$Z$3:$Z$6, $C$32), 1)</xm:f>
          </x14:formula1>
          <xm:sqref>Q32</xm:sqref>
        </x14:dataValidation>
        <x14:dataValidation type="list" allowBlank="1" showInputMessage="1" showErrorMessage="1" xr:uid="{00000000-0002-0000-0300-00000F000000}">
          <x14:formula1>
            <xm:f>OFFSET(БД!$AA$2, MATCH($C$35, БД!$Z$3:$Z$6, 0), 0, COUNTIF(БД!$Z$3:$Z$6, $C$35), 1)</xm:f>
          </x14:formula1>
          <xm:sqref>Q35</xm:sqref>
        </x14:dataValidation>
        <x14:dataValidation type="list" allowBlank="1" showInputMessage="1" showErrorMessage="1" xr:uid="{00FCC0BD-EB9D-4761-B2E0-1E8CD833A423}">
          <x14:formula1>
            <xm:f>БД!$F$3:$F$5</xm:f>
          </x14:formula1>
          <xm:sqref>C8 C11 C14 C17 C20 C23 C26 C29 C32 C35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69AA5-C16F-43DF-AACF-6CED382DED92}">
  <sheetPr codeName="Лист16"/>
  <dimension ref="A1:AJ162"/>
  <sheetViews>
    <sheetView zoomScaleNormal="100" workbookViewId="0">
      <selection activeCell="B15" sqref="B15"/>
    </sheetView>
  </sheetViews>
  <sheetFormatPr defaultRowHeight="14.4" x14ac:dyDescent="0.3"/>
  <cols>
    <col min="1" max="1" width="9.109375" customWidth="1"/>
    <col min="2" max="2" width="35.5546875" customWidth="1"/>
    <col min="3" max="3" width="4.44140625" customWidth="1"/>
    <col min="4" max="4" width="69.6640625" customWidth="1"/>
    <col min="5" max="5" width="2.109375" customWidth="1"/>
    <col min="6" max="6" width="37.109375" customWidth="1"/>
    <col min="7" max="7" width="20.5546875" customWidth="1"/>
    <col min="8" max="8" width="14" customWidth="1"/>
    <col min="9" max="9" width="23.6640625" customWidth="1"/>
    <col min="11" max="11" width="39.88671875" customWidth="1"/>
    <col min="12" max="12" width="4.88671875" customWidth="1"/>
    <col min="13" max="13" width="19.33203125" customWidth="1"/>
    <col min="14" max="14" width="15" customWidth="1"/>
    <col min="15" max="15" width="10.6640625" customWidth="1"/>
    <col min="16" max="16" width="23.6640625" customWidth="1"/>
    <col min="17" max="21" width="10.6640625" customWidth="1"/>
    <col min="22" max="22" width="17.88671875" customWidth="1"/>
    <col min="23" max="23" width="20.5546875" customWidth="1"/>
    <col min="24" max="26" width="10.6640625" customWidth="1"/>
    <col min="27" max="27" width="25.109375" customWidth="1"/>
    <col min="28" max="35" width="10.6640625" customWidth="1"/>
  </cols>
  <sheetData>
    <row r="1" spans="1:36" x14ac:dyDescent="0.3">
      <c r="A1" t="str">
        <f>IF('Фасады EDGE MAX'!$J$39&gt;0, "Выгрузка", "Пусто")</f>
        <v>Пусто</v>
      </c>
      <c r="B1" s="387"/>
    </row>
    <row r="2" spans="1:36" ht="16.2" thickBot="1" x14ac:dyDescent="0.35">
      <c r="B2" s="366" t="e">
        <f>HYPERLINK("#"&amp; D2, "ВЫДЕЛИТЬ")</f>
        <v>#VALUE!</v>
      </c>
      <c r="D2" t="e">
        <f>"$B$3:" &amp; ADDRESS(MATCH("Пусто", A:A, 0)-2, 9)</f>
        <v>#VALUE!</v>
      </c>
    </row>
    <row r="3" spans="1:36" ht="84" x14ac:dyDescent="0.4">
      <c r="B3" s="388" t="s">
        <v>521</v>
      </c>
      <c r="C3" s="388"/>
      <c r="D3" s="388" t="s">
        <v>2</v>
      </c>
      <c r="E3" s="388" t="s">
        <v>0</v>
      </c>
      <c r="F3" s="388" t="s">
        <v>233</v>
      </c>
      <c r="G3" s="389" t="s">
        <v>558</v>
      </c>
      <c r="H3" s="390" t="s">
        <v>559</v>
      </c>
      <c r="I3" s="391" t="s">
        <v>560</v>
      </c>
      <c r="J3" s="392" t="s">
        <v>149</v>
      </c>
      <c r="K3" s="393" t="s">
        <v>237</v>
      </c>
      <c r="L3" s="394" t="s">
        <v>522</v>
      </c>
      <c r="M3" s="395"/>
      <c r="N3" s="396" t="s">
        <v>14</v>
      </c>
      <c r="O3" s="396" t="s">
        <v>523</v>
      </c>
      <c r="P3" s="396" t="s">
        <v>524</v>
      </c>
      <c r="Q3" s="396" t="s">
        <v>525</v>
      </c>
      <c r="R3" s="396" t="s">
        <v>526</v>
      </c>
      <c r="S3" s="396" t="s">
        <v>527</v>
      </c>
      <c r="T3" s="396" t="s">
        <v>528</v>
      </c>
      <c r="U3" s="396" t="s">
        <v>529</v>
      </c>
      <c r="V3" s="396" t="s">
        <v>530</v>
      </c>
      <c r="W3" s="396" t="s">
        <v>531</v>
      </c>
      <c r="X3" s="396" t="s">
        <v>532</v>
      </c>
      <c r="Y3" s="397" t="s">
        <v>533</v>
      </c>
      <c r="Z3" s="396" t="s">
        <v>534</v>
      </c>
      <c r="AA3" s="396" t="s">
        <v>535</v>
      </c>
      <c r="AB3" s="396" t="s">
        <v>536</v>
      </c>
      <c r="AC3" s="396" t="s">
        <v>537</v>
      </c>
      <c r="AD3" s="396" t="s">
        <v>538</v>
      </c>
      <c r="AE3" s="396" t="s">
        <v>539</v>
      </c>
      <c r="AF3" s="396" t="s">
        <v>540</v>
      </c>
      <c r="AG3" s="396" t="s">
        <v>541</v>
      </c>
      <c r="AH3" s="396" t="s">
        <v>542</v>
      </c>
      <c r="AI3" s="396" t="s">
        <v>543</v>
      </c>
      <c r="AJ3" s="396" t="s">
        <v>379</v>
      </c>
    </row>
    <row r="4" spans="1:36" ht="21" x14ac:dyDescent="0.4">
      <c r="A4" t="str">
        <f>IF('Фасады EDGE MAX'!$X$8&gt;0, "ВФасад", "Пусто")</f>
        <v>Пусто</v>
      </c>
      <c r="B4" s="662" t="s">
        <v>548</v>
      </c>
      <c r="C4" s="367">
        <v>1</v>
      </c>
      <c r="D4" s="367" t="str">
        <f>IFERROR('Расчет фасадов MAX'!Y4,0)</f>
        <v>Фасад, Рамочный узкий профиль</v>
      </c>
      <c r="E4" s="367"/>
      <c r="F4" s="367">
        <f>IFERROR('Расчет фасадов MAX'!Z4,0)</f>
        <v>0</v>
      </c>
      <c r="G4" s="367" t="str">
        <f>IFERROR('Расчет фасадов MAX'!AC4,0)</f>
        <v>0мм-0шт</v>
      </c>
      <c r="H4" s="368">
        <f>IFERROR('Расчет фасадов MAX'!AD4,0)</f>
        <v>0</v>
      </c>
      <c r="I4" s="367">
        <f>IFERROR('Расчет фасадов MAX'!AB4,0)</f>
        <v>0</v>
      </c>
      <c r="J4" s="369">
        <f>IFERROR('Расчет фасадов MAX'!AA4,0)</f>
        <v>0</v>
      </c>
      <c r="K4" s="367" t="str">
        <f>IFERROR('Расчет фасадов MAX'!AE4,0)</f>
        <v>Полуфабрикаты производимые в процессе</v>
      </c>
      <c r="L4" s="367"/>
      <c r="M4" s="367"/>
      <c r="N4" s="398" t="s">
        <v>544</v>
      </c>
      <c r="O4" s="398" t="s">
        <v>545</v>
      </c>
      <c r="P4" s="398" t="str">
        <f>IFERROR('Расчет фасадов MAX'!$B$9,0)</f>
        <v>.</v>
      </c>
      <c r="Q4" s="398"/>
      <c r="R4" s="398"/>
      <c r="S4" s="398"/>
      <c r="T4" s="398"/>
      <c r="U4" s="398"/>
      <c r="V4" s="398" t="s">
        <v>546</v>
      </c>
      <c r="W4" s="398" t="s">
        <v>546</v>
      </c>
      <c r="X4" s="398" t="s">
        <v>547</v>
      </c>
      <c r="Y4" s="398" t="s">
        <v>361</v>
      </c>
      <c r="Z4" s="398"/>
      <c r="AA4" s="398">
        <f>'Фасады EDGE MAX'!$C$8</f>
        <v>0</v>
      </c>
      <c r="AB4" s="398" t="s">
        <v>548</v>
      </c>
      <c r="AC4" s="398">
        <f>'Фасады EDGE MAX'!$G$8</f>
        <v>0</v>
      </c>
      <c r="AD4" s="398">
        <f>'Фасады EDGE MAX'!$I$8</f>
        <v>0</v>
      </c>
      <c r="AE4" s="398"/>
      <c r="AF4" s="398"/>
      <c r="AG4" s="398"/>
      <c r="AH4" s="398"/>
      <c r="AI4" s="398"/>
      <c r="AJ4" s="399">
        <f>'Фасады EDGE MAX'!$W$8</f>
        <v>0</v>
      </c>
    </row>
    <row r="5" spans="1:36" ht="21" x14ac:dyDescent="0.4">
      <c r="A5" s="387"/>
      <c r="B5" s="662"/>
      <c r="C5" s="370">
        <v>2</v>
      </c>
      <c r="D5" s="370" t="str">
        <f>IFERROR('Расчет фасадов MAX'!Y5,0)</f>
        <v>Фасад, Рамочный узкий профиль</v>
      </c>
      <c r="E5" s="370"/>
      <c r="F5" s="370">
        <f>IFERROR('Расчет фасадов MAX'!Z5,0)</f>
        <v>0</v>
      </c>
      <c r="G5" s="370" t="str">
        <f>IFERROR('Расчет фасадов MAX'!AC5,0)</f>
        <v>0мм-0шт</v>
      </c>
      <c r="H5" s="371">
        <f>IFERROR('Расчет фасадов MAX'!AD5,0)</f>
        <v>0</v>
      </c>
      <c r="I5" s="370">
        <f>IFERROR('Расчет фасадов MAX'!AB5,0)</f>
        <v>0</v>
      </c>
      <c r="J5" s="372">
        <f>IFERROR('Расчет фасадов MAX'!AA5,0)</f>
        <v>0</v>
      </c>
      <c r="K5" s="370" t="str">
        <f>IFERROR('Расчет фасадов MAX'!AE5,0)</f>
        <v>Полуфабрикаты производимые в процессе</v>
      </c>
      <c r="L5" s="370"/>
      <c r="M5" s="370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</row>
    <row r="6" spans="1:36" ht="21" x14ac:dyDescent="0.4">
      <c r="B6" s="398"/>
      <c r="C6" s="370">
        <v>3</v>
      </c>
      <c r="D6" s="370" t="str">
        <f>IFERROR('Расчет фасадов MAX'!Y6,0)</f>
        <v>Фасад, Рамочный узкий профиль</v>
      </c>
      <c r="E6" s="370"/>
      <c r="F6" s="370">
        <f>IFERROR('Расчет фасадов MAX'!Z6,0)</f>
        <v>0</v>
      </c>
      <c r="G6" s="370" t="str">
        <f>IFERROR('Расчет фасадов MAX'!AC6,0)</f>
        <v>0мм-0шт</v>
      </c>
      <c r="H6" s="371">
        <f>IFERROR('Расчет фасадов MAX'!AD6,0)</f>
        <v>0</v>
      </c>
      <c r="I6" s="370">
        <f>IFERROR('Расчет фасадов MAX'!AB6,0)</f>
        <v>0</v>
      </c>
      <c r="J6" s="372">
        <f>IFERROR('Расчет фасадов MAX'!AA6,0)</f>
        <v>0</v>
      </c>
      <c r="K6" s="370" t="str">
        <f>IFERROR('Расчет фасадов MAX'!AE6,0)</f>
        <v>Полуфабрикаты производимые в процессе</v>
      </c>
      <c r="L6" s="370"/>
      <c r="M6" s="370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</row>
    <row r="7" spans="1:36" ht="21" x14ac:dyDescent="0.4">
      <c r="B7" s="398"/>
      <c r="C7" s="370">
        <v>4</v>
      </c>
      <c r="D7" s="370" t="str">
        <f>IFERROR('Расчет фасадов MAX'!Y7,0)</f>
        <v>Фасад, Рамочный узкий профиль</v>
      </c>
      <c r="E7" s="370"/>
      <c r="F7" s="370">
        <f>IFERROR('Расчет фасадов MAX'!Z7,0)</f>
        <v>0</v>
      </c>
      <c r="G7" s="370" t="str">
        <f>IFERROR('Расчет фасадов MAX'!AC7,0)</f>
        <v>0мм-0шт</v>
      </c>
      <c r="H7" s="371">
        <f>IFERROR('Расчет фасадов MAX'!AD7,0)</f>
        <v>0</v>
      </c>
      <c r="I7" s="370">
        <f>IFERROR('Расчет фасадов MAX'!AB7,0)</f>
        <v>0</v>
      </c>
      <c r="J7" s="372">
        <f>IFERROR('Расчет фасадов MAX'!AA7,0)</f>
        <v>0</v>
      </c>
      <c r="K7" s="370" t="str">
        <f>IFERROR('Расчет фасадов MAX'!AE7,0)</f>
        <v>Полуфабрикаты производимые в процессе</v>
      </c>
      <c r="L7" s="370"/>
      <c r="M7" s="370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</row>
    <row r="8" spans="1:36" ht="21" x14ac:dyDescent="0.4">
      <c r="B8" s="398"/>
      <c r="C8" s="370">
        <v>5</v>
      </c>
      <c r="D8" s="370">
        <f>IFERROR('Расчет фасадов MAX'!Y8,0)</f>
        <v>0</v>
      </c>
      <c r="E8" s="370"/>
      <c r="F8" s="370" t="str">
        <f>IFERROR('Расчет фасадов MAX'!Z8,0)</f>
        <v>.</v>
      </c>
      <c r="G8" s="370">
        <f>IFERROR('Расчет фасадов MAX'!AC8,0)</f>
        <v>0</v>
      </c>
      <c r="H8" s="371">
        <f>IFERROR('Расчет фасадов MAX'!AD8,0)</f>
        <v>0</v>
      </c>
      <c r="I8" s="370" t="str">
        <f>IFERROR('Расчет фасадов MAX'!AB8,0)</f>
        <v>В -6, Ш -6</v>
      </c>
      <c r="J8" s="372">
        <f>IFERROR('Расчет фасадов MAX'!AA8,0)</f>
        <v>0</v>
      </c>
      <c r="K8" s="370" t="str">
        <f>IFERROR('Расчет фасадов MAX'!AE8,0)</f>
        <v>Вставки</v>
      </c>
      <c r="L8" s="370"/>
      <c r="M8" s="370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</row>
    <row r="9" spans="1:36" ht="21" x14ac:dyDescent="0.4">
      <c r="B9" s="398"/>
      <c r="C9" s="370">
        <v>6</v>
      </c>
      <c r="D9" s="370" t="str">
        <f>IFERROR('Расчет фасадов MAX'!Y9,0)</f>
        <v>Воздушно-пузырьковая пленка 3-10-115 (1,2*100)</v>
      </c>
      <c r="E9" s="370"/>
      <c r="F9" s="370" t="str">
        <f>IFERROR('Расчет фасадов MAX'!Z9,0)</f>
        <v>3-10-115</v>
      </c>
      <c r="G9" s="370">
        <f>IFERROR('Расчет фасадов MAX'!AC9,0)</f>
        <v>0</v>
      </c>
      <c r="H9" s="371">
        <f>IFERROR('Расчет фасадов MAX'!AD9,0)</f>
        <v>0</v>
      </c>
      <c r="I9" s="370">
        <f>IFERROR('Расчет фасадов MAX'!AB9,0)</f>
        <v>0</v>
      </c>
      <c r="J9" s="372">
        <f>IFERROR('Расчет фасадов MAX'!AA9,0)</f>
        <v>0</v>
      </c>
      <c r="K9" s="370" t="str">
        <f>IFERROR('Расчет фасадов MAX'!AE9,0)</f>
        <v>Полуфабрикаты производимые в процессе</v>
      </c>
      <c r="L9" s="370"/>
      <c r="M9" s="370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</row>
    <row r="10" spans="1:36" ht="21" x14ac:dyDescent="0.4">
      <c r="B10" s="398"/>
      <c r="C10" s="370">
        <v>7</v>
      </c>
      <c r="D10" s="370" t="str">
        <f>IFERROR('Расчет фасадов MAX'!Y10,0)</f>
        <v>Новофлекс П 40-50 (L3100)</v>
      </c>
      <c r="E10" s="370"/>
      <c r="F10" s="370" t="str">
        <f>IFERROR('Расчет фасадов MAX'!Z10,0)</f>
        <v>П 40-50</v>
      </c>
      <c r="G10" s="370">
        <f>IFERROR('Расчет фасадов MAX'!AC10,0)</f>
        <v>0</v>
      </c>
      <c r="H10" s="371">
        <f>IFERROR('Расчет фасадов MAX'!AD10,0)</f>
        <v>0</v>
      </c>
      <c r="I10" s="370">
        <f>IFERROR('Расчет фасадов MAX'!AB10,0)</f>
        <v>0</v>
      </c>
      <c r="J10" s="372">
        <f>IFERROR('Расчет фасадов MAX'!AA10,0)</f>
        <v>0</v>
      </c>
      <c r="K10" s="370" t="str">
        <f>IFERROR('Расчет фасадов MAX'!AE10,0)</f>
        <v>Полуфабрикаты производимые в процессе</v>
      </c>
      <c r="L10" s="370"/>
      <c r="M10" s="370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</row>
    <row r="11" spans="1:36" ht="21" x14ac:dyDescent="0.4">
      <c r="B11" s="398"/>
      <c r="C11" s="370">
        <v>8</v>
      </c>
      <c r="D11" s="370" t="str">
        <f>IFERROR('Расчет фасадов MAX'!Y11,0)</f>
        <v>Стрейч плёнка 500*300 (087.0800.50) первичная</v>
      </c>
      <c r="E11" s="370"/>
      <c r="F11" s="370" t="str">
        <f>IFERROR('Расчет фасадов MAX'!Z11,0)</f>
        <v>087.0800.50</v>
      </c>
      <c r="G11" s="370">
        <f>IFERROR('Расчет фасадов MAX'!AC11,0)</f>
        <v>0</v>
      </c>
      <c r="H11" s="371">
        <f>IFERROR('Расчет фасадов MAX'!AD11,0)</f>
        <v>0</v>
      </c>
      <c r="I11" s="370">
        <f>IFERROR('Расчет фасадов MAX'!AB11,0)</f>
        <v>0</v>
      </c>
      <c r="J11" s="372">
        <f>IFERROR('Расчет фасадов MAX'!AA11,0)</f>
        <v>0</v>
      </c>
      <c r="K11" s="370" t="str">
        <f>IFERROR('Расчет фасадов MAX'!AE11,0)</f>
        <v>Полуфабрикаты производимые в процессе</v>
      </c>
      <c r="L11" s="370"/>
      <c r="M11" s="370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398"/>
      <c r="AC11" s="398"/>
      <c r="AD11" s="398"/>
      <c r="AE11" s="398"/>
      <c r="AF11" s="398"/>
      <c r="AG11" s="398"/>
      <c r="AH11" s="398"/>
      <c r="AI11" s="398"/>
      <c r="AJ11" s="398"/>
    </row>
    <row r="12" spans="1:36" ht="21" x14ac:dyDescent="0.4">
      <c r="B12" s="398"/>
      <c r="C12" s="370">
        <v>9</v>
      </c>
      <c r="D12" s="370" t="str">
        <f>IFERROR('Расчет фасадов MAX'!Y12,0)</f>
        <v>Скотч АРИСТО 2021 06.21</v>
      </c>
      <c r="E12" s="370"/>
      <c r="F12" s="370" t="str">
        <f>IFERROR('Расчет фасадов MAX'!Z12,0)</f>
        <v>ARR-0335</v>
      </c>
      <c r="G12" s="370">
        <f>IFERROR('Расчет фасадов MAX'!AC12,0)</f>
        <v>0</v>
      </c>
      <c r="H12" s="371">
        <f>IFERROR('Расчет фасадов MAX'!AD12,0)</f>
        <v>0</v>
      </c>
      <c r="I12" s="370">
        <f>IFERROR('Расчет фасадов MAX'!AB12,0)</f>
        <v>0</v>
      </c>
      <c r="J12" s="372">
        <f>IFERROR('Расчет фасадов MAX'!AA12,0)</f>
        <v>0</v>
      </c>
      <c r="K12" s="370" t="str">
        <f>IFERROR('Расчет фасадов MAX'!AE12,0)</f>
        <v>Полуфабрикаты производимые в процессе</v>
      </c>
      <c r="L12" s="370"/>
      <c r="M12" s="370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</row>
    <row r="13" spans="1:36" ht="21" x14ac:dyDescent="0.4">
      <c r="B13" s="398"/>
      <c r="C13" s="370">
        <v>10</v>
      </c>
      <c r="D13" s="370" t="str">
        <f>IFERROR('Расчет фасадов MAX'!Y13,0)</f>
        <v>Клейкая лента прозрачная 72мм*45мм*50мкм</v>
      </c>
      <c r="E13" s="370"/>
      <c r="F13" s="370" t="str">
        <f>IFERROR('Расчет фасадов MAX'!Z13,0)</f>
        <v>0800.50</v>
      </c>
      <c r="G13" s="370">
        <f>IFERROR('Расчет фасадов MAX'!AC13,0)</f>
        <v>0</v>
      </c>
      <c r="H13" s="371">
        <f>IFERROR('Расчет фасадов MAX'!AD13,0)</f>
        <v>0</v>
      </c>
      <c r="I13" s="370">
        <f>IFERROR('Расчет фасадов MAX'!AB13,0)</f>
        <v>0</v>
      </c>
      <c r="J13" s="372">
        <f>IFERROR('Расчет фасадов MAX'!AA13,0)</f>
        <v>0</v>
      </c>
      <c r="K13" s="370" t="str">
        <f>IFERROR('Расчет фасадов MAX'!AE13,0)</f>
        <v>Полуфабрикаты производимые в процессе</v>
      </c>
      <c r="L13" s="370"/>
      <c r="M13" s="370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8"/>
      <c r="Y13" s="398"/>
      <c r="Z13" s="398"/>
      <c r="AA13" s="398"/>
      <c r="AB13" s="398"/>
      <c r="AC13" s="398"/>
      <c r="AD13" s="398"/>
      <c r="AE13" s="398"/>
      <c r="AF13" s="398"/>
      <c r="AG13" s="398"/>
      <c r="AH13" s="398"/>
      <c r="AI13" s="398"/>
      <c r="AJ13" s="398"/>
    </row>
    <row r="14" spans="1:36" ht="21" x14ac:dyDescent="0.4">
      <c r="B14" s="398"/>
      <c r="C14" s="370">
        <v>11</v>
      </c>
      <c r="D14" s="370" t="str">
        <f>IFERROR('Расчет фасадов MAX'!Y14,0)</f>
        <v>Клейкая ленка "ОСТОРОЖНО! СТЕКЛО"</v>
      </c>
      <c r="E14" s="370"/>
      <c r="F14" s="370" t="str">
        <f>IFERROR('Расчет фасадов MAX'!Z14,0)</f>
        <v>43скл</v>
      </c>
      <c r="G14" s="370">
        <f>IFERROR('Расчет фасадов MAX'!AC14,0)</f>
        <v>0</v>
      </c>
      <c r="H14" s="371">
        <f>IFERROR('Расчет фасадов MAX'!AD14,0)</f>
        <v>0</v>
      </c>
      <c r="I14" s="370">
        <f>IFERROR('Расчет фасадов MAX'!AB14,0)</f>
        <v>0</v>
      </c>
      <c r="J14" s="372">
        <f>IFERROR('Расчет фасадов MAX'!AA14,0)</f>
        <v>1</v>
      </c>
      <c r="K14" s="370" t="str">
        <f>IFERROR('Расчет фасадов MAX'!AE14,0)</f>
        <v>Полуфабрикаты производимые в процессе</v>
      </c>
      <c r="L14" s="370"/>
      <c r="M14" s="370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</row>
    <row r="15" spans="1:36" ht="21" x14ac:dyDescent="0.4">
      <c r="B15" s="398"/>
      <c r="C15" s="370">
        <v>12</v>
      </c>
      <c r="D15" s="370" t="str">
        <f>IFERROR('Расчет фасадов MAX'!Y15,0)</f>
        <v>Пленка-мешок полиэтиленовый 250*700*0,1</v>
      </c>
      <c r="E15" s="370"/>
      <c r="F15" s="370" t="str">
        <f>IFERROR('Расчет фасадов MAX'!Z15,0)</f>
        <v>250*700*0,1</v>
      </c>
      <c r="G15" s="370">
        <f>IFERROR('Расчет фасадов MAX'!AC15,0)</f>
        <v>0</v>
      </c>
      <c r="H15" s="371">
        <f>IFERROR('Расчет фасадов MAX'!AD15,0)</f>
        <v>1</v>
      </c>
      <c r="I15" s="370">
        <f>IFERROR('Расчет фасадов MAX'!AB15,0)</f>
        <v>0</v>
      </c>
      <c r="J15" s="372">
        <f>IFERROR('Расчет фасадов MAX'!AA15,0)</f>
        <v>1</v>
      </c>
      <c r="K15" s="370" t="str">
        <f>IFERROR('Расчет фасадов MAX'!AE15,0)</f>
        <v>Полуфабрикаты производимые в процессе</v>
      </c>
      <c r="L15" s="370"/>
      <c r="M15" s="370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</row>
    <row r="16" spans="1:36" ht="21" x14ac:dyDescent="0.4">
      <c r="B16" s="398"/>
      <c r="C16" s="370">
        <v>13</v>
      </c>
      <c r="D16" s="370">
        <f>IFERROR('Расчет фасадов MAX'!Y16,0)</f>
        <v>0</v>
      </c>
      <c r="E16" s="370"/>
      <c r="F16" s="370">
        <f>IFERROR('Расчет фасадов MAX'!Z16,0)</f>
        <v>0</v>
      </c>
      <c r="G16" s="370">
        <f>IFERROR('Расчет фасадов MAX'!AC16,0)</f>
        <v>0</v>
      </c>
      <c r="H16" s="371">
        <f>IFERROR('Расчет фасадов MAX'!AD16,0)</f>
        <v>0</v>
      </c>
      <c r="I16" s="370">
        <f>IFERROR('Расчет фасадов MAX'!AB16,0)</f>
        <v>0</v>
      </c>
      <c r="J16" s="372">
        <f>IFERROR('Расчет фасадов MAX'!AA16,0)</f>
        <v>0</v>
      </c>
      <c r="K16" s="370" t="str">
        <f>IFERROR('Расчет фасадов MAX'!AE16,0)</f>
        <v>Фурнитура</v>
      </c>
      <c r="L16" s="370"/>
      <c r="M16" s="370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8"/>
      <c r="AH16" s="398"/>
      <c r="AI16" s="398"/>
      <c r="AJ16" s="398"/>
    </row>
    <row r="17" spans="1:36" ht="21" x14ac:dyDescent="0.4">
      <c r="B17" s="398"/>
      <c r="C17" s="370">
        <v>14</v>
      </c>
      <c r="D17" s="370">
        <f>IFERROR('Расчет фасадов MAX'!Y17,0)</f>
        <v>0</v>
      </c>
      <c r="E17" s="370"/>
      <c r="F17" s="370">
        <f>IFERROR('Расчет фасадов MAX'!Z17,0)</f>
        <v>0</v>
      </c>
      <c r="G17" s="370">
        <f>IFERROR('Расчет фасадов MAX'!AC17,0)</f>
        <v>0</v>
      </c>
      <c r="H17" s="371">
        <f>IFERROR('Расчет фасадов MAX'!AD17,0)</f>
        <v>0</v>
      </c>
      <c r="I17" s="370">
        <f>IFERROR('Расчет фасадов MAX'!AB17,0)</f>
        <v>0</v>
      </c>
      <c r="J17" s="372">
        <f>IFERROR('Расчет фасадов MAX'!AA17,0)</f>
        <v>0</v>
      </c>
      <c r="K17" s="370" t="str">
        <f>IFERROR('Расчет фасадов MAX'!AE17,0)</f>
        <v>Полуфабрикаты производимые в процессе</v>
      </c>
      <c r="L17" s="370"/>
      <c r="M17" s="370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8"/>
      <c r="AH17" s="398"/>
      <c r="AI17" s="398"/>
      <c r="AJ17" s="398"/>
    </row>
    <row r="18" spans="1:36" ht="21.6" thickBot="1" x14ac:dyDescent="0.45">
      <c r="A18" s="245"/>
      <c r="B18" s="400"/>
      <c r="C18" s="373">
        <v>15</v>
      </c>
      <c r="D18" s="373">
        <f>IFERROR('Расчет фасадов MAX'!Y18,0)</f>
        <v>0</v>
      </c>
      <c r="E18" s="373"/>
      <c r="F18" s="373">
        <f>IFERROR('Расчет фасадов MAX'!Z18,0)</f>
        <v>0</v>
      </c>
      <c r="G18" s="373">
        <f>IFERROR('Расчет фасадов MAX'!AC18,0)</f>
        <v>0</v>
      </c>
      <c r="H18" s="374">
        <f>IFERROR('Расчет фасадов MAX'!AD18,0)</f>
        <v>0</v>
      </c>
      <c r="I18" s="373">
        <f>IFERROR('Расчет фасадов MAX'!AB18,0)</f>
        <v>0</v>
      </c>
      <c r="J18" s="375">
        <f>IFERROR('Расчет фасадов MAX'!AA18,0)</f>
        <v>0</v>
      </c>
      <c r="K18" s="373" t="str">
        <f>IFERROR('Расчет фасадов MAX'!AE18,0)</f>
        <v>Фурнитура</v>
      </c>
      <c r="L18" s="373"/>
      <c r="M18" s="373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</row>
    <row r="19" spans="1:36" ht="84" x14ac:dyDescent="0.4">
      <c r="B19" s="388" t="s">
        <v>521</v>
      </c>
      <c r="C19" s="388"/>
      <c r="D19" s="388" t="s">
        <v>2</v>
      </c>
      <c r="E19" s="388" t="s">
        <v>0</v>
      </c>
      <c r="F19" s="388" t="s">
        <v>233</v>
      </c>
      <c r="G19" s="389" t="s">
        <v>558</v>
      </c>
      <c r="H19" s="390" t="s">
        <v>559</v>
      </c>
      <c r="I19" s="391" t="s">
        <v>560</v>
      </c>
      <c r="J19" s="392" t="s">
        <v>149</v>
      </c>
      <c r="K19" s="393" t="s">
        <v>237</v>
      </c>
      <c r="L19" s="394" t="s">
        <v>522</v>
      </c>
      <c r="M19" s="395"/>
      <c r="N19" s="396" t="s">
        <v>14</v>
      </c>
      <c r="O19" s="396" t="s">
        <v>523</v>
      </c>
      <c r="P19" s="396" t="s">
        <v>524</v>
      </c>
      <c r="Q19" s="396" t="s">
        <v>525</v>
      </c>
      <c r="R19" s="396" t="s">
        <v>526</v>
      </c>
      <c r="S19" s="396" t="s">
        <v>527</v>
      </c>
      <c r="T19" s="396" t="s">
        <v>528</v>
      </c>
      <c r="U19" s="396" t="s">
        <v>529</v>
      </c>
      <c r="V19" s="396" t="s">
        <v>530</v>
      </c>
      <c r="W19" s="396" t="s">
        <v>531</v>
      </c>
      <c r="X19" s="396" t="s">
        <v>532</v>
      </c>
      <c r="Y19" s="397" t="s">
        <v>533</v>
      </c>
      <c r="Z19" s="396" t="s">
        <v>534</v>
      </c>
      <c r="AA19" s="396" t="s">
        <v>535</v>
      </c>
      <c r="AB19" s="396" t="s">
        <v>536</v>
      </c>
      <c r="AC19" s="396" t="s">
        <v>537</v>
      </c>
      <c r="AD19" s="396" t="s">
        <v>538</v>
      </c>
      <c r="AE19" s="396" t="s">
        <v>539</v>
      </c>
      <c r="AF19" s="396" t="s">
        <v>540</v>
      </c>
      <c r="AG19" s="396" t="s">
        <v>541</v>
      </c>
      <c r="AH19" s="396" t="s">
        <v>542</v>
      </c>
      <c r="AI19" s="396" t="s">
        <v>543</v>
      </c>
      <c r="AJ19" s="396" t="s">
        <v>379</v>
      </c>
    </row>
    <row r="20" spans="1:36" ht="21" x14ac:dyDescent="0.4">
      <c r="A20" t="str">
        <f>IF('Фасады EDGE MAX'!$X$11&gt;0, "ВФасад", "Пусто")</f>
        <v>Пусто</v>
      </c>
      <c r="B20" s="662" t="s">
        <v>549</v>
      </c>
      <c r="C20" s="367">
        <v>1</v>
      </c>
      <c r="D20" s="367" t="str">
        <f>IFERROR('Расчет фасадов MAX'!Y36,0)</f>
        <v>Фасад, Рамочный узкий профиль</v>
      </c>
      <c r="E20" s="367"/>
      <c r="F20" s="367">
        <f>IFERROR('Расчет фасадов MAX'!Z36,0)</f>
        <v>0</v>
      </c>
      <c r="G20" s="367" t="str">
        <f>IFERROR('Расчет фасадов MAX'!AC36,0)</f>
        <v>0мм-0шт</v>
      </c>
      <c r="H20" s="368">
        <f>IFERROR('Расчет фасадов MAX'!AD36,0)</f>
        <v>0</v>
      </c>
      <c r="I20" s="367">
        <f>IFERROR('Расчет фасадов MAX'!AB36,0)</f>
        <v>0</v>
      </c>
      <c r="J20" s="369">
        <f>IFERROR('Расчет фасадов MAX'!AA36,0)</f>
        <v>0</v>
      </c>
      <c r="K20" s="367" t="str">
        <f>IFERROR('Расчет фасадов MAX'!AE36,0)</f>
        <v>Полуфабрикаты производимые в процессе</v>
      </c>
      <c r="L20" s="367"/>
      <c r="M20" s="367"/>
      <c r="N20" s="398" t="s">
        <v>544</v>
      </c>
      <c r="O20" s="398" t="s">
        <v>545</v>
      </c>
      <c r="P20" s="399" t="str">
        <f>IFERROR('Расчет фасадов MAX'!$B$41,0)</f>
        <v>.</v>
      </c>
      <c r="Q20" s="398"/>
      <c r="R20" s="398"/>
      <c r="S20" s="398"/>
      <c r="T20" s="398"/>
      <c r="U20" s="398"/>
      <c r="V20" s="398" t="s">
        <v>546</v>
      </c>
      <c r="W20" s="398" t="s">
        <v>546</v>
      </c>
      <c r="X20" s="398" t="s">
        <v>547</v>
      </c>
      <c r="Y20" s="398" t="s">
        <v>361</v>
      </c>
      <c r="Z20" s="398"/>
      <c r="AA20" s="398">
        <f>'Фасады EDGE MAX'!$C$11</f>
        <v>0</v>
      </c>
      <c r="AB20" s="398" t="s">
        <v>549</v>
      </c>
      <c r="AC20" s="398">
        <f>'Фасады EDGE MAX'!$G$11</f>
        <v>0</v>
      </c>
      <c r="AD20" s="398">
        <f>'Фасады EDGE MAX'!$I$11</f>
        <v>0</v>
      </c>
      <c r="AE20" s="398"/>
      <c r="AF20" s="398"/>
      <c r="AG20" s="398"/>
      <c r="AH20" s="398"/>
      <c r="AI20" s="398"/>
      <c r="AJ20" s="399">
        <f>'Фасады EDGE MAX'!$W$11</f>
        <v>0</v>
      </c>
    </row>
    <row r="21" spans="1:36" ht="21" x14ac:dyDescent="0.4">
      <c r="A21" s="387"/>
      <c r="B21" s="662"/>
      <c r="C21" s="370">
        <v>2</v>
      </c>
      <c r="D21" s="370" t="str">
        <f>IFERROR('Расчет фасадов MAX'!Y37,0)</f>
        <v>Фасад, Рамочный узкий профиль</v>
      </c>
      <c r="E21" s="370"/>
      <c r="F21" s="370">
        <f>IFERROR('Расчет фасадов MAX'!Z37,0)</f>
        <v>0</v>
      </c>
      <c r="G21" s="370" t="str">
        <f>IFERROR('Расчет фасадов MAX'!AC37,0)</f>
        <v>0мм-0шт</v>
      </c>
      <c r="H21" s="370">
        <f>IFERROR('Расчет фасадов MAX'!AD37,0)</f>
        <v>0</v>
      </c>
      <c r="I21" s="370">
        <f>IFERROR('Расчет фасадов MAX'!AB37,0)</f>
        <v>0</v>
      </c>
      <c r="J21" s="370">
        <f>IFERROR('Расчет фасадов MAX'!AA37,0)</f>
        <v>0</v>
      </c>
      <c r="K21" s="370" t="str">
        <f>IFERROR('Расчет фасадов MAX'!AE37,0)</f>
        <v>Полуфабрикаты производимые в процессе</v>
      </c>
      <c r="L21" s="370"/>
      <c r="M21" s="370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</row>
    <row r="22" spans="1:36" ht="21" x14ac:dyDescent="0.4">
      <c r="B22" s="398"/>
      <c r="C22" s="370">
        <v>3</v>
      </c>
      <c r="D22" s="370" t="str">
        <f>IFERROR('Расчет фасадов MAX'!Y38,0)</f>
        <v>Фасад, Рамочный узкий профиль</v>
      </c>
      <c r="E22" s="370"/>
      <c r="F22" s="370">
        <f>IFERROR('Расчет фасадов MAX'!Z38,0)</f>
        <v>0</v>
      </c>
      <c r="G22" s="370" t="str">
        <f>IFERROR('Расчет фасадов MAX'!AC38,0)</f>
        <v>0мм-0шт</v>
      </c>
      <c r="H22" s="370">
        <f>IFERROR('Расчет фасадов MAX'!AD38,0)</f>
        <v>0</v>
      </c>
      <c r="I22" s="370">
        <f>IFERROR('Расчет фасадов MAX'!AB38,0)</f>
        <v>0</v>
      </c>
      <c r="J22" s="370">
        <f>IFERROR('Расчет фасадов MAX'!AA38,0)</f>
        <v>0</v>
      </c>
      <c r="K22" s="370" t="str">
        <f>IFERROR('Расчет фасадов MAX'!AE38,0)</f>
        <v>Полуфабрикаты производимые в процессе</v>
      </c>
      <c r="L22" s="370"/>
      <c r="M22" s="370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8"/>
      <c r="AB22" s="398"/>
      <c r="AC22" s="398"/>
      <c r="AD22" s="398"/>
      <c r="AE22" s="398"/>
      <c r="AF22" s="398"/>
      <c r="AG22" s="398"/>
      <c r="AH22" s="398"/>
      <c r="AI22" s="398"/>
      <c r="AJ22" s="398"/>
    </row>
    <row r="23" spans="1:36" ht="21" x14ac:dyDescent="0.4">
      <c r="B23" s="398"/>
      <c r="C23" s="370">
        <v>4</v>
      </c>
      <c r="D23" s="370" t="str">
        <f>IFERROR('Расчет фасадов MAX'!Y39,0)</f>
        <v>Фасад, Рамочный узкий профиль</v>
      </c>
      <c r="E23" s="370"/>
      <c r="F23" s="370">
        <f>IFERROR('Расчет фасадов MAX'!Z39,0)</f>
        <v>0</v>
      </c>
      <c r="G23" s="370" t="str">
        <f>IFERROR('Расчет фасадов MAX'!AC39,0)</f>
        <v>0мм-0шт</v>
      </c>
      <c r="H23" s="370">
        <f>IFERROR('Расчет фасадов MAX'!AD39,0)</f>
        <v>0</v>
      </c>
      <c r="I23" s="370">
        <f>IFERROR('Расчет фасадов MAX'!AB39,0)</f>
        <v>0</v>
      </c>
      <c r="J23" s="370">
        <f>IFERROR('Расчет фасадов MAX'!AA39,0)</f>
        <v>0</v>
      </c>
      <c r="K23" s="370" t="str">
        <f>IFERROR('Расчет фасадов MAX'!AE39,0)</f>
        <v>Полуфабрикаты производимые в процессе</v>
      </c>
      <c r="L23" s="370"/>
      <c r="M23" s="370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398"/>
      <c r="AB23" s="398"/>
      <c r="AC23" s="398"/>
      <c r="AD23" s="398"/>
      <c r="AE23" s="398"/>
      <c r="AF23" s="398"/>
      <c r="AG23" s="398"/>
      <c r="AH23" s="398"/>
      <c r="AI23" s="398"/>
      <c r="AJ23" s="398"/>
    </row>
    <row r="24" spans="1:36" ht="21" x14ac:dyDescent="0.4">
      <c r="B24" s="398"/>
      <c r="C24" s="370">
        <v>5</v>
      </c>
      <c r="D24" s="370">
        <f>IFERROR('Расчет фасадов MAX'!Y40,0)</f>
        <v>0</v>
      </c>
      <c r="E24" s="370"/>
      <c r="F24" s="370" t="str">
        <f>IFERROR('Расчет фасадов MAX'!Z40,0)</f>
        <v>.</v>
      </c>
      <c r="G24" s="370">
        <f>IFERROR('Расчет фасадов MAX'!AC40,0)</f>
        <v>0</v>
      </c>
      <c r="H24" s="370">
        <f>IFERROR('Расчет фасадов MAX'!AD40,0)</f>
        <v>0</v>
      </c>
      <c r="I24" s="370" t="str">
        <f>IFERROR('Расчет фасадов MAX'!AB40,0)</f>
        <v>В -6, Ш -6</v>
      </c>
      <c r="J24" s="370">
        <f>IFERROR('Расчет фасадов MAX'!AA40,0)</f>
        <v>0</v>
      </c>
      <c r="K24" s="370" t="str">
        <f>IFERROR('Расчет фасадов MAX'!AE40,0)</f>
        <v>Вставки</v>
      </c>
      <c r="L24" s="370"/>
      <c r="M24" s="370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8"/>
      <c r="AC24" s="398"/>
      <c r="AD24" s="398"/>
      <c r="AE24" s="398"/>
      <c r="AF24" s="398"/>
      <c r="AG24" s="398"/>
      <c r="AH24" s="398"/>
      <c r="AI24" s="398"/>
      <c r="AJ24" s="398"/>
    </row>
    <row r="25" spans="1:36" ht="21" x14ac:dyDescent="0.4">
      <c r="B25" s="398"/>
      <c r="C25" s="370">
        <v>6</v>
      </c>
      <c r="D25" s="370" t="str">
        <f>IFERROR('Расчет фасадов MAX'!Y41,0)</f>
        <v>Воздушно-пузырьковая пленка 3-10-115 (1,2*100)</v>
      </c>
      <c r="E25" s="370"/>
      <c r="F25" s="370" t="str">
        <f>IFERROR('Расчет фасадов MAX'!Z41,0)</f>
        <v>3-10-115</v>
      </c>
      <c r="G25" s="370">
        <f>IFERROR('Расчет фасадов MAX'!AC41,0)</f>
        <v>0</v>
      </c>
      <c r="H25" s="370">
        <f>IFERROR('Расчет фасадов MAX'!AD41,0)</f>
        <v>0</v>
      </c>
      <c r="I25" s="370">
        <f>IFERROR('Расчет фасадов MAX'!AB41,0)</f>
        <v>0</v>
      </c>
      <c r="J25" s="370">
        <f>IFERROR('Расчет фасадов MAX'!AA41,0)</f>
        <v>0</v>
      </c>
      <c r="K25" s="370" t="str">
        <f>IFERROR('Расчет фасадов MAX'!AE41,0)</f>
        <v>Полуфабрикаты производимые в процессе</v>
      </c>
      <c r="L25" s="370"/>
      <c r="M25" s="370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</row>
    <row r="26" spans="1:36" ht="21" x14ac:dyDescent="0.4">
      <c r="B26" s="398"/>
      <c r="C26" s="370">
        <v>7</v>
      </c>
      <c r="D26" s="370" t="str">
        <f>IFERROR('Расчет фасадов MAX'!Y42,0)</f>
        <v>Новофлекс П 40-50 (L3100)</v>
      </c>
      <c r="E26" s="370"/>
      <c r="F26" s="370" t="str">
        <f>IFERROR('Расчет фасадов MAX'!Z42,0)</f>
        <v>П 40-50</v>
      </c>
      <c r="G26" s="370">
        <f>IFERROR('Расчет фасадов MAX'!AC42,0)</f>
        <v>0</v>
      </c>
      <c r="H26" s="370">
        <f>IFERROR('Расчет фасадов MAX'!AD42,0)</f>
        <v>0</v>
      </c>
      <c r="I26" s="370">
        <f>IFERROR('Расчет фасадов MAX'!AB42,0)</f>
        <v>0</v>
      </c>
      <c r="J26" s="370">
        <f>IFERROR('Расчет фасадов MAX'!AA42,0)</f>
        <v>0</v>
      </c>
      <c r="K26" s="370" t="str">
        <f>IFERROR('Расчет фасадов MAX'!AE42,0)</f>
        <v>Полуфабрикаты производимые в процессе</v>
      </c>
      <c r="L26" s="370"/>
      <c r="M26" s="370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8"/>
      <c r="Z26" s="398"/>
      <c r="AA26" s="398"/>
      <c r="AB26" s="398"/>
      <c r="AC26" s="398"/>
      <c r="AD26" s="398"/>
      <c r="AE26" s="398"/>
      <c r="AF26" s="398"/>
      <c r="AG26" s="398"/>
      <c r="AH26" s="398"/>
      <c r="AI26" s="398"/>
      <c r="AJ26" s="398"/>
    </row>
    <row r="27" spans="1:36" ht="21" x14ac:dyDescent="0.4">
      <c r="B27" s="398"/>
      <c r="C27" s="370">
        <v>8</v>
      </c>
      <c r="D27" s="370" t="str">
        <f>IFERROR('Расчет фасадов MAX'!Y43,0)</f>
        <v>Стрейч плёнка 500*300 (087.0800.50) первичная</v>
      </c>
      <c r="E27" s="370"/>
      <c r="F27" s="370" t="str">
        <f>IFERROR('Расчет фасадов MAX'!Z43,0)</f>
        <v>087.0800.50</v>
      </c>
      <c r="G27" s="370">
        <f>IFERROR('Расчет фасадов MAX'!AC43,0)</f>
        <v>0</v>
      </c>
      <c r="H27" s="370">
        <f>IFERROR('Расчет фасадов MAX'!AD43,0)</f>
        <v>0</v>
      </c>
      <c r="I27" s="370">
        <f>IFERROR('Расчет фасадов MAX'!AB43,0)</f>
        <v>0</v>
      </c>
      <c r="J27" s="370">
        <f>IFERROR('Расчет фасадов MAX'!AA43,0)</f>
        <v>0</v>
      </c>
      <c r="K27" s="370" t="str">
        <f>IFERROR('Расчет фасадов MAX'!AE43,0)</f>
        <v>Полуфабрикаты производимые в процессе</v>
      </c>
      <c r="L27" s="370"/>
      <c r="M27" s="370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398"/>
      <c r="AC27" s="398"/>
      <c r="AD27" s="398"/>
      <c r="AE27" s="398"/>
      <c r="AF27" s="398"/>
      <c r="AG27" s="398"/>
      <c r="AH27" s="398"/>
      <c r="AI27" s="398"/>
      <c r="AJ27" s="398"/>
    </row>
    <row r="28" spans="1:36" ht="21" x14ac:dyDescent="0.4">
      <c r="B28" s="398"/>
      <c r="C28" s="370">
        <v>9</v>
      </c>
      <c r="D28" s="370" t="str">
        <f>IFERROR('Расчет фасадов MAX'!Y44,0)</f>
        <v>Скотч АРИСТО 2021 06.21</v>
      </c>
      <c r="E28" s="370"/>
      <c r="F28" s="370" t="str">
        <f>IFERROR('Расчет фасадов MAX'!Z44,0)</f>
        <v>ARR-0335</v>
      </c>
      <c r="G28" s="370">
        <f>IFERROR('Расчет фасадов MAX'!AC44,0)</f>
        <v>0</v>
      </c>
      <c r="H28" s="370">
        <f>IFERROR('Расчет фасадов MAX'!AD44,0)</f>
        <v>0</v>
      </c>
      <c r="I28" s="370">
        <f>IFERROR('Расчет фасадов MAX'!AB44,0)</f>
        <v>0</v>
      </c>
      <c r="J28" s="370">
        <f>IFERROR('Расчет фасадов MAX'!AA44,0)</f>
        <v>0</v>
      </c>
      <c r="K28" s="370" t="str">
        <f>IFERROR('Расчет фасадов MAX'!AE44,0)</f>
        <v>Полуфабрикаты производимые в процессе</v>
      </c>
      <c r="L28" s="370"/>
      <c r="M28" s="370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8"/>
      <c r="AC28" s="398"/>
      <c r="AD28" s="398"/>
      <c r="AE28" s="398"/>
      <c r="AF28" s="398"/>
      <c r="AG28" s="398"/>
      <c r="AH28" s="398"/>
      <c r="AI28" s="398"/>
      <c r="AJ28" s="398"/>
    </row>
    <row r="29" spans="1:36" ht="21" x14ac:dyDescent="0.4">
      <c r="B29" s="398"/>
      <c r="C29" s="370">
        <v>10</v>
      </c>
      <c r="D29" s="370" t="str">
        <f>IFERROR('Расчет фасадов MAX'!Y45,0)</f>
        <v>Клейкая лента прозрачная 72мм*45мм*50мкм</v>
      </c>
      <c r="E29" s="370"/>
      <c r="F29" s="370" t="str">
        <f>IFERROR('Расчет фасадов MAX'!Z45,0)</f>
        <v>0800.50</v>
      </c>
      <c r="G29" s="370">
        <f>IFERROR('Расчет фасадов MAX'!AC45,0)</f>
        <v>0</v>
      </c>
      <c r="H29" s="370">
        <f>IFERROR('Расчет фасадов MAX'!AD45,0)</f>
        <v>0</v>
      </c>
      <c r="I29" s="370">
        <f>IFERROR('Расчет фасадов MAX'!AB45,0)</f>
        <v>0</v>
      </c>
      <c r="J29" s="370">
        <f>IFERROR('Расчет фасадов MAX'!AA45,0)</f>
        <v>0</v>
      </c>
      <c r="K29" s="370" t="str">
        <f>IFERROR('Расчет фасадов MAX'!AE45,0)</f>
        <v>Полуфабрикаты производимые в процессе</v>
      </c>
      <c r="L29" s="370"/>
      <c r="M29" s="370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8"/>
      <c r="AD29" s="398"/>
      <c r="AE29" s="398"/>
      <c r="AF29" s="398"/>
      <c r="AG29" s="398"/>
      <c r="AH29" s="398"/>
      <c r="AI29" s="398"/>
      <c r="AJ29" s="398"/>
    </row>
    <row r="30" spans="1:36" ht="21" x14ac:dyDescent="0.4">
      <c r="B30" s="398"/>
      <c r="C30" s="370">
        <v>11</v>
      </c>
      <c r="D30" s="370" t="str">
        <f>IFERROR('Расчет фасадов MAX'!Y46,0)</f>
        <v>Клейкая ленка "ОСТОРОЖНО! СТЕКЛО"</v>
      </c>
      <c r="E30" s="370"/>
      <c r="F30" s="370" t="str">
        <f>IFERROR('Расчет фасадов MAX'!Z46,0)</f>
        <v>43скл</v>
      </c>
      <c r="G30" s="370">
        <f>IFERROR('Расчет фасадов MAX'!AC46,0)</f>
        <v>0</v>
      </c>
      <c r="H30" s="370">
        <f>IFERROR('Расчет фасадов MAX'!AD46,0)</f>
        <v>0</v>
      </c>
      <c r="I30" s="370">
        <f>IFERROR('Расчет фасадов MAX'!AB46,0)</f>
        <v>0</v>
      </c>
      <c r="J30" s="370">
        <f>IFERROR('Расчет фасадов MAX'!AA46,0)</f>
        <v>1</v>
      </c>
      <c r="K30" s="370" t="str">
        <f>IFERROR('Расчет фасадов MAX'!AE46,0)</f>
        <v>Полуфабрикаты производимые в процессе</v>
      </c>
      <c r="L30" s="370"/>
      <c r="M30" s="370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8"/>
      <c r="AC30" s="398"/>
      <c r="AD30" s="398"/>
      <c r="AE30" s="398"/>
      <c r="AF30" s="398"/>
      <c r="AG30" s="398"/>
      <c r="AH30" s="398"/>
      <c r="AI30" s="398"/>
      <c r="AJ30" s="398"/>
    </row>
    <row r="31" spans="1:36" ht="21" x14ac:dyDescent="0.4">
      <c r="B31" s="398"/>
      <c r="C31" s="370">
        <v>12</v>
      </c>
      <c r="D31" s="370" t="str">
        <f>IFERROR('Расчет фасадов MAX'!Y47,0)</f>
        <v>Пленка-мешок полиэтиленовый 250*700*0,1</v>
      </c>
      <c r="E31" s="370"/>
      <c r="F31" s="370" t="str">
        <f>IFERROR('Расчет фасадов MAX'!Z47,0)</f>
        <v>250*700*0,1</v>
      </c>
      <c r="G31" s="370">
        <f>IFERROR('Расчет фасадов MAX'!AC47,0)</f>
        <v>0</v>
      </c>
      <c r="H31" s="370">
        <f>IFERROR('Расчет фасадов MAX'!AD47,0)</f>
        <v>1</v>
      </c>
      <c r="I31" s="370">
        <f>IFERROR('Расчет фасадов MAX'!AB47,0)</f>
        <v>0</v>
      </c>
      <c r="J31" s="370">
        <f>IFERROR('Расчет фасадов MAX'!AA47,0)</f>
        <v>1</v>
      </c>
      <c r="K31" s="370" t="str">
        <f>IFERROR('Расчет фасадов MAX'!AE47,0)</f>
        <v>Полуфабрикаты производимые в процессе</v>
      </c>
      <c r="L31" s="370"/>
      <c r="M31" s="370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398"/>
      <c r="AC31" s="398"/>
      <c r="AD31" s="398"/>
      <c r="AE31" s="398"/>
      <c r="AF31" s="398"/>
      <c r="AG31" s="398"/>
      <c r="AH31" s="398"/>
      <c r="AI31" s="398"/>
      <c r="AJ31" s="398"/>
    </row>
    <row r="32" spans="1:36" ht="21" x14ac:dyDescent="0.4">
      <c r="B32" s="398"/>
      <c r="C32" s="370">
        <v>13</v>
      </c>
      <c r="D32" s="370">
        <f>IFERROR('Расчет фасадов MAX'!Y48,0)</f>
        <v>0</v>
      </c>
      <c r="E32" s="370"/>
      <c r="F32" s="370">
        <f>IFERROR('Расчет фасадов MAX'!Z48,0)</f>
        <v>0</v>
      </c>
      <c r="G32" s="370">
        <f>IFERROR('Расчет фасадов MAX'!AC48,0)</f>
        <v>0</v>
      </c>
      <c r="H32" s="370">
        <f>IFERROR('Расчет фасадов MAX'!AD48,0)</f>
        <v>0</v>
      </c>
      <c r="I32" s="370">
        <f>IFERROR('Расчет фасадов MAX'!AB48,0)</f>
        <v>0</v>
      </c>
      <c r="J32" s="370">
        <f>IFERROR('Расчет фасадов MAX'!AA48,0)</f>
        <v>0</v>
      </c>
      <c r="K32" s="370" t="str">
        <f>IFERROR('Расчет фасадов MAX'!AE48,0)</f>
        <v>Фурнитура</v>
      </c>
      <c r="L32" s="370"/>
      <c r="M32" s="370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98"/>
      <c r="AE32" s="398"/>
      <c r="AF32" s="398"/>
      <c r="AG32" s="398"/>
      <c r="AH32" s="398"/>
      <c r="AI32" s="398"/>
      <c r="AJ32" s="398"/>
    </row>
    <row r="33" spans="1:36" ht="21" x14ac:dyDescent="0.4">
      <c r="B33" s="398"/>
      <c r="C33" s="370">
        <v>14</v>
      </c>
      <c r="D33" s="370">
        <f>IFERROR('Расчет фасадов MAX'!Y49,0)</f>
        <v>0</v>
      </c>
      <c r="E33" s="370"/>
      <c r="F33" s="370">
        <f>IFERROR('Расчет фасадов MAX'!Z49,0)</f>
        <v>0</v>
      </c>
      <c r="G33" s="370">
        <f>IFERROR('Расчет фасадов MAX'!AC49,0)</f>
        <v>0</v>
      </c>
      <c r="H33" s="370">
        <f>IFERROR('Расчет фасадов MAX'!AD49,0)</f>
        <v>0</v>
      </c>
      <c r="I33" s="370">
        <f>IFERROR('Расчет фасадов MAX'!AB49,0)</f>
        <v>0</v>
      </c>
      <c r="J33" s="370">
        <f>IFERROR('Расчет фасадов MAX'!AA49,0)</f>
        <v>0</v>
      </c>
      <c r="K33" s="370" t="str">
        <f>IFERROR('Расчет фасадов MAX'!AE49,0)</f>
        <v>Полуфабрикаты производимые в процессе</v>
      </c>
      <c r="L33" s="370"/>
      <c r="M33" s="370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</row>
    <row r="34" spans="1:36" ht="21.6" thickBot="1" x14ac:dyDescent="0.45">
      <c r="A34" s="245"/>
      <c r="B34" s="400"/>
      <c r="C34" s="373">
        <v>15</v>
      </c>
      <c r="D34" s="373">
        <f>IFERROR('Расчет фасадов MAX'!Y50,0)</f>
        <v>0</v>
      </c>
      <c r="E34" s="373"/>
      <c r="F34" s="373">
        <f>IFERROR('Расчет фасадов MAX'!Z50,0)</f>
        <v>0</v>
      </c>
      <c r="G34" s="373">
        <f>IFERROR('Расчет фасадов MAX'!AC50,0)</f>
        <v>0</v>
      </c>
      <c r="H34" s="373">
        <f>IFERROR('Расчет фасадов MAX'!AD50,0)</f>
        <v>0</v>
      </c>
      <c r="I34" s="373">
        <f>IFERROR('Расчет фасадов MAX'!AB50,0)</f>
        <v>0</v>
      </c>
      <c r="J34" s="373">
        <f>IFERROR('Расчет фасадов MAX'!AA50,0)</f>
        <v>0</v>
      </c>
      <c r="K34" s="373" t="str">
        <f>IFERROR('Расчет фасадов MAX'!AE50,0)</f>
        <v>Фурнитура</v>
      </c>
      <c r="L34" s="373"/>
      <c r="M34" s="373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</row>
    <row r="35" spans="1:36" ht="84" x14ac:dyDescent="0.4">
      <c r="B35" s="388" t="s">
        <v>521</v>
      </c>
      <c r="C35" s="388"/>
      <c r="D35" s="388" t="s">
        <v>2</v>
      </c>
      <c r="E35" s="388" t="s">
        <v>0</v>
      </c>
      <c r="F35" s="388" t="s">
        <v>233</v>
      </c>
      <c r="G35" s="389" t="s">
        <v>558</v>
      </c>
      <c r="H35" s="390" t="s">
        <v>559</v>
      </c>
      <c r="I35" s="391" t="s">
        <v>560</v>
      </c>
      <c r="J35" s="392" t="s">
        <v>149</v>
      </c>
      <c r="K35" s="393" t="s">
        <v>237</v>
      </c>
      <c r="L35" s="394" t="s">
        <v>522</v>
      </c>
      <c r="M35" s="395"/>
      <c r="N35" s="396" t="s">
        <v>14</v>
      </c>
      <c r="O35" s="396" t="s">
        <v>523</v>
      </c>
      <c r="P35" s="396" t="s">
        <v>524</v>
      </c>
      <c r="Q35" s="396" t="s">
        <v>525</v>
      </c>
      <c r="R35" s="396" t="s">
        <v>526</v>
      </c>
      <c r="S35" s="396" t="s">
        <v>527</v>
      </c>
      <c r="T35" s="396" t="s">
        <v>528</v>
      </c>
      <c r="U35" s="396" t="s">
        <v>529</v>
      </c>
      <c r="V35" s="396" t="s">
        <v>530</v>
      </c>
      <c r="W35" s="396" t="s">
        <v>531</v>
      </c>
      <c r="X35" s="396" t="s">
        <v>532</v>
      </c>
      <c r="Y35" s="397" t="s">
        <v>533</v>
      </c>
      <c r="Z35" s="396" t="s">
        <v>534</v>
      </c>
      <c r="AA35" s="396" t="s">
        <v>535</v>
      </c>
      <c r="AB35" s="396" t="s">
        <v>536</v>
      </c>
      <c r="AC35" s="396" t="s">
        <v>537</v>
      </c>
      <c r="AD35" s="396" t="s">
        <v>538</v>
      </c>
      <c r="AE35" s="396" t="s">
        <v>539</v>
      </c>
      <c r="AF35" s="396" t="s">
        <v>540</v>
      </c>
      <c r="AG35" s="396" t="s">
        <v>541</v>
      </c>
      <c r="AH35" s="396" t="s">
        <v>542</v>
      </c>
      <c r="AI35" s="396" t="s">
        <v>543</v>
      </c>
      <c r="AJ35" s="396" t="s">
        <v>379</v>
      </c>
    </row>
    <row r="36" spans="1:36" ht="21" x14ac:dyDescent="0.4">
      <c r="A36" t="str">
        <f>IF('Фасады EDGE MAX'!$X$14&gt;0, "ВФасад", "Пусто")</f>
        <v>Пусто</v>
      </c>
      <c r="B36" s="662" t="s">
        <v>550</v>
      </c>
      <c r="C36" s="367">
        <v>1</v>
      </c>
      <c r="D36" s="367" t="str">
        <f>IFERROR('Расчет фасадов MAX'!Y68,0)</f>
        <v>Фасад, Рамочный узкий профиль</v>
      </c>
      <c r="E36" s="367"/>
      <c r="F36" s="367">
        <f>IFERROR('Расчет фасадов MAX'!Z68,0)</f>
        <v>0</v>
      </c>
      <c r="G36" s="367" t="str">
        <f>IFERROR('Расчет фасадов MAX'!AC68,0)</f>
        <v>0мм-0шт</v>
      </c>
      <c r="H36" s="368">
        <f>IFERROR('Расчет фасадов MAX'!AD68,0)</f>
        <v>0</v>
      </c>
      <c r="I36" s="367">
        <f>IFERROR('Расчет фасадов MAX'!AB68,0)</f>
        <v>0</v>
      </c>
      <c r="J36" s="369">
        <f>IFERROR('Расчет фасадов MAX'!AA68,0)</f>
        <v>0</v>
      </c>
      <c r="K36" s="367" t="str">
        <f>IFERROR('Расчет фасадов MAX'!AE68,0)</f>
        <v>Полуфабрикаты производимые в процессе</v>
      </c>
      <c r="L36" s="367"/>
      <c r="M36" s="367"/>
      <c r="N36" s="398" t="s">
        <v>544</v>
      </c>
      <c r="O36" s="398" t="s">
        <v>545</v>
      </c>
      <c r="P36" s="398" t="str">
        <f>IFERROR('Расчет фасадов MAX'!$B$73,0)</f>
        <v>.</v>
      </c>
      <c r="Q36" s="398"/>
      <c r="R36" s="398"/>
      <c r="S36" s="398"/>
      <c r="T36" s="398"/>
      <c r="U36" s="398"/>
      <c r="V36" s="398" t="s">
        <v>546</v>
      </c>
      <c r="W36" s="398" t="s">
        <v>546</v>
      </c>
      <c r="X36" s="398" t="s">
        <v>547</v>
      </c>
      <c r="Y36" s="398" t="s">
        <v>361</v>
      </c>
      <c r="Z36" s="398"/>
      <c r="AA36" s="398">
        <f>'Фасады EDGE MAX'!$C$14</f>
        <v>0</v>
      </c>
      <c r="AB36" s="398" t="s">
        <v>550</v>
      </c>
      <c r="AC36" s="398">
        <f>'Фасады EDGE MAX'!$G$14</f>
        <v>0</v>
      </c>
      <c r="AD36" s="398">
        <f>'Фасады EDGE MAX'!$I$14</f>
        <v>0</v>
      </c>
      <c r="AE36" s="398"/>
      <c r="AF36" s="398"/>
      <c r="AG36" s="398"/>
      <c r="AH36" s="398"/>
      <c r="AI36" s="398"/>
      <c r="AJ36" s="399">
        <f>'Фасады EDGE MAX'!$W$14</f>
        <v>0</v>
      </c>
    </row>
    <row r="37" spans="1:36" ht="21" x14ac:dyDescent="0.4">
      <c r="B37" s="662"/>
      <c r="C37" s="370">
        <v>2</v>
      </c>
      <c r="D37" s="370" t="str">
        <f>IFERROR('Расчет фасадов MAX'!Y69,0)</f>
        <v>Фасад, Рамочный узкий профиль</v>
      </c>
      <c r="E37" s="370"/>
      <c r="F37" s="370">
        <f>IFERROR('Расчет фасадов MAX'!Z69,0)</f>
        <v>0</v>
      </c>
      <c r="G37" s="370" t="str">
        <f>IFERROR('Расчет фасадов MAX'!AC69,0)</f>
        <v>0мм-0шт</v>
      </c>
      <c r="H37" s="370">
        <f>IFERROR('Расчет фасадов MAX'!AD69,0)</f>
        <v>0</v>
      </c>
      <c r="I37" s="370">
        <f>IFERROR('Расчет фасадов MAX'!AB69,0)</f>
        <v>0</v>
      </c>
      <c r="J37" s="370">
        <f>IFERROR('Расчет фасадов MAX'!AA69,0)</f>
        <v>0</v>
      </c>
      <c r="K37" s="370" t="str">
        <f>IFERROR('Расчет фасадов MAX'!AE69,0)</f>
        <v>Полуфабрикаты производимые в процессе</v>
      </c>
      <c r="L37" s="370"/>
      <c r="M37" s="370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</row>
    <row r="38" spans="1:36" ht="21" x14ac:dyDescent="0.4">
      <c r="B38" s="398"/>
      <c r="C38" s="370">
        <v>3</v>
      </c>
      <c r="D38" s="370" t="str">
        <f>IFERROR('Расчет фасадов MAX'!Y70,0)</f>
        <v>Фасад, Рамочный узкий профиль</v>
      </c>
      <c r="E38" s="370"/>
      <c r="F38" s="370">
        <f>IFERROR('Расчет фасадов MAX'!Z70,0)</f>
        <v>0</v>
      </c>
      <c r="G38" s="370" t="str">
        <f>IFERROR('Расчет фасадов MAX'!AC70,0)</f>
        <v>0мм-0шт</v>
      </c>
      <c r="H38" s="370">
        <f>IFERROR('Расчет фасадов MAX'!AD70,0)</f>
        <v>0</v>
      </c>
      <c r="I38" s="370">
        <f>IFERROR('Расчет фасадов MAX'!AB70,0)</f>
        <v>0</v>
      </c>
      <c r="J38" s="370">
        <f>IFERROR('Расчет фасадов MAX'!AA70,0)</f>
        <v>0</v>
      </c>
      <c r="K38" s="370" t="str">
        <f>IFERROR('Расчет фасадов MAX'!AE70,0)</f>
        <v>Полуфабрикаты производимые в процессе</v>
      </c>
      <c r="L38" s="370"/>
      <c r="M38" s="370"/>
      <c r="N38" s="398"/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</row>
    <row r="39" spans="1:36" ht="21" x14ac:dyDescent="0.4">
      <c r="B39" s="398"/>
      <c r="C39" s="370">
        <v>4</v>
      </c>
      <c r="D39" s="370" t="str">
        <f>IFERROR('Расчет фасадов MAX'!Y71,0)</f>
        <v>Фасад, Рамочный узкий профиль</v>
      </c>
      <c r="E39" s="370"/>
      <c r="F39" s="370">
        <f>IFERROR('Расчет фасадов MAX'!Z71,0)</f>
        <v>0</v>
      </c>
      <c r="G39" s="370" t="str">
        <f>IFERROR('Расчет фасадов MAX'!AC71,0)</f>
        <v>0мм-0шт</v>
      </c>
      <c r="H39" s="370">
        <f>IFERROR('Расчет фасадов MAX'!AD71,0)</f>
        <v>0</v>
      </c>
      <c r="I39" s="370">
        <f>IFERROR('Расчет фасадов MAX'!AB71,0)</f>
        <v>0</v>
      </c>
      <c r="J39" s="370">
        <f>IFERROR('Расчет фасадов MAX'!AA71,0)</f>
        <v>0</v>
      </c>
      <c r="K39" s="370" t="str">
        <f>IFERROR('Расчет фасадов MAX'!AE71,0)</f>
        <v>Полуфабрикаты производимые в процессе</v>
      </c>
      <c r="L39" s="370"/>
      <c r="M39" s="370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398"/>
      <c r="AG39" s="398"/>
      <c r="AH39" s="398"/>
      <c r="AI39" s="398"/>
      <c r="AJ39" s="398"/>
    </row>
    <row r="40" spans="1:36" ht="21" x14ac:dyDescent="0.4">
      <c r="B40" s="398"/>
      <c r="C40" s="370">
        <v>5</v>
      </c>
      <c r="D40" s="370">
        <f>IFERROR('Расчет фасадов MAX'!Y72,0)</f>
        <v>0</v>
      </c>
      <c r="E40" s="370"/>
      <c r="F40" s="370" t="str">
        <f>IFERROR('Расчет фасадов MAX'!Z72,0)</f>
        <v>.</v>
      </c>
      <c r="G40" s="370">
        <f>IFERROR('Расчет фасадов MAX'!AC72,0)</f>
        <v>0</v>
      </c>
      <c r="H40" s="370">
        <f>IFERROR('Расчет фасадов MAX'!AD72,0)</f>
        <v>0</v>
      </c>
      <c r="I40" s="370" t="str">
        <f>IFERROR('Расчет фасадов MAX'!AB72,0)</f>
        <v>В -6, Ш -6</v>
      </c>
      <c r="J40" s="370">
        <f>IFERROR('Расчет фасадов MAX'!AA72,0)</f>
        <v>0</v>
      </c>
      <c r="K40" s="370" t="str">
        <f>IFERROR('Расчет фасадов MAX'!AE72,0)</f>
        <v>Вставки</v>
      </c>
      <c r="L40" s="370"/>
      <c r="M40" s="370"/>
      <c r="N40" s="398"/>
      <c r="O40" s="398"/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398"/>
      <c r="AC40" s="398"/>
      <c r="AD40" s="398"/>
      <c r="AE40" s="398"/>
      <c r="AF40" s="398"/>
      <c r="AG40" s="398"/>
      <c r="AH40" s="398"/>
      <c r="AI40" s="398"/>
      <c r="AJ40" s="398"/>
    </row>
    <row r="41" spans="1:36" ht="21" x14ac:dyDescent="0.4">
      <c r="B41" s="398"/>
      <c r="C41" s="370">
        <v>6</v>
      </c>
      <c r="D41" s="370" t="str">
        <f>IFERROR('Расчет фасадов MAX'!Y73,0)</f>
        <v>Воздушно-пузырьковая пленка 3-10-115 (1,2*100)</v>
      </c>
      <c r="E41" s="370"/>
      <c r="F41" s="370" t="str">
        <f>IFERROR('Расчет фасадов MAX'!Z73,0)</f>
        <v>3-10-115</v>
      </c>
      <c r="G41" s="370">
        <f>IFERROR('Расчет фасадов MAX'!AC73,0)</f>
        <v>0</v>
      </c>
      <c r="H41" s="370">
        <f>IFERROR('Расчет фасадов MAX'!AD73,0)</f>
        <v>0</v>
      </c>
      <c r="I41" s="370">
        <f>IFERROR('Расчет фасадов MAX'!AB73,0)</f>
        <v>0</v>
      </c>
      <c r="J41" s="370">
        <f>IFERROR('Расчет фасадов MAX'!AA73,0)</f>
        <v>0</v>
      </c>
      <c r="K41" s="370" t="str">
        <f>IFERROR('Расчет фасадов MAX'!AE73,0)</f>
        <v>Полуфабрикаты производимые в процессе</v>
      </c>
      <c r="L41" s="370"/>
      <c r="M41" s="370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</row>
    <row r="42" spans="1:36" ht="21" x14ac:dyDescent="0.4">
      <c r="B42" s="398"/>
      <c r="C42" s="370">
        <v>7</v>
      </c>
      <c r="D42" s="370" t="str">
        <f>IFERROR('Расчет фасадов MAX'!Y74,0)</f>
        <v>Новофлекс П 40-50 (L3100)</v>
      </c>
      <c r="E42" s="370"/>
      <c r="F42" s="370" t="str">
        <f>IFERROR('Расчет фасадов MAX'!Z74,0)</f>
        <v>П 40-50</v>
      </c>
      <c r="G42" s="370">
        <f>IFERROR('Расчет фасадов MAX'!AC74,0)</f>
        <v>0</v>
      </c>
      <c r="H42" s="370">
        <f>IFERROR('Расчет фасадов MAX'!AD74,0)</f>
        <v>0</v>
      </c>
      <c r="I42" s="370">
        <f>IFERROR('Расчет фасадов MAX'!AB74,0)</f>
        <v>0</v>
      </c>
      <c r="J42" s="370">
        <f>IFERROR('Расчет фасадов MAX'!AA74,0)</f>
        <v>0</v>
      </c>
      <c r="K42" s="370" t="str">
        <f>IFERROR('Расчет фасадов MAX'!AE74,0)</f>
        <v>Полуфабрикаты производимые в процессе</v>
      </c>
      <c r="L42" s="370"/>
      <c r="M42" s="370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398"/>
      <c r="Y42" s="398"/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</row>
    <row r="43" spans="1:36" ht="21" x14ac:dyDescent="0.4">
      <c r="B43" s="398"/>
      <c r="C43" s="370">
        <v>8</v>
      </c>
      <c r="D43" s="370" t="str">
        <f>IFERROR('Расчет фасадов MAX'!Y75,0)</f>
        <v>Стрейч плёнка 500*300 (087.0800.50) первичная</v>
      </c>
      <c r="E43" s="370"/>
      <c r="F43" s="370" t="str">
        <f>IFERROR('Расчет фасадов MAX'!Z75,0)</f>
        <v>087.0800.50</v>
      </c>
      <c r="G43" s="370">
        <f>IFERROR('Расчет фасадов MAX'!AC75,0)</f>
        <v>0</v>
      </c>
      <c r="H43" s="370">
        <f>IFERROR('Расчет фасадов MAX'!AD75,0)</f>
        <v>0</v>
      </c>
      <c r="I43" s="370">
        <f>IFERROR('Расчет фасадов MAX'!AB75,0)</f>
        <v>0</v>
      </c>
      <c r="J43" s="370">
        <f>IFERROR('Расчет фасадов MAX'!AA75,0)</f>
        <v>0</v>
      </c>
      <c r="K43" s="370" t="str">
        <f>IFERROR('Расчет фасадов MAX'!AE75,0)</f>
        <v>Полуфабрикаты производимые в процессе</v>
      </c>
      <c r="L43" s="370"/>
      <c r="M43" s="370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398"/>
      <c r="AI43" s="398"/>
      <c r="AJ43" s="398"/>
    </row>
    <row r="44" spans="1:36" ht="21" x14ac:dyDescent="0.4">
      <c r="B44" s="398"/>
      <c r="C44" s="370">
        <v>9</v>
      </c>
      <c r="D44" s="370" t="str">
        <f>IFERROR('Расчет фасадов MAX'!Y76,0)</f>
        <v>Скотч АРИСТО 2021 06.21</v>
      </c>
      <c r="E44" s="370"/>
      <c r="F44" s="370" t="str">
        <f>IFERROR('Расчет фасадов MAX'!Z76,0)</f>
        <v>ARR-0335</v>
      </c>
      <c r="G44" s="370">
        <f>IFERROR('Расчет фасадов MAX'!AC76,0)</f>
        <v>0</v>
      </c>
      <c r="H44" s="370">
        <f>IFERROR('Расчет фасадов MAX'!AD76,0)</f>
        <v>0</v>
      </c>
      <c r="I44" s="370">
        <f>IFERROR('Расчет фасадов MAX'!AB76,0)</f>
        <v>0</v>
      </c>
      <c r="J44" s="370">
        <f>IFERROR('Расчет фасадов MAX'!AA76,0)</f>
        <v>0</v>
      </c>
      <c r="K44" s="370" t="str">
        <f>IFERROR('Расчет фасадов MAX'!AE76,0)</f>
        <v>Полуфабрикаты производимые в процессе</v>
      </c>
      <c r="L44" s="370"/>
      <c r="M44" s="370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</row>
    <row r="45" spans="1:36" ht="21" x14ac:dyDescent="0.4">
      <c r="B45" s="398"/>
      <c r="C45" s="370">
        <v>10</v>
      </c>
      <c r="D45" s="370" t="str">
        <f>IFERROR('Расчет фасадов MAX'!Y77,0)</f>
        <v>Клейкая лента прозрачная 72мм*45мм*50мкм</v>
      </c>
      <c r="E45" s="370"/>
      <c r="F45" s="370" t="str">
        <f>IFERROR('Расчет фасадов MAX'!Z77,0)</f>
        <v>0800.50</v>
      </c>
      <c r="G45" s="370">
        <f>IFERROR('Расчет фасадов MAX'!AC77,0)</f>
        <v>0</v>
      </c>
      <c r="H45" s="370">
        <f>IFERROR('Расчет фасадов MAX'!AD77,0)</f>
        <v>0</v>
      </c>
      <c r="I45" s="370">
        <f>IFERROR('Расчет фасадов MAX'!AB77,0)</f>
        <v>0</v>
      </c>
      <c r="J45" s="370">
        <f>IFERROR('Расчет фасадов MAX'!AA77,0)</f>
        <v>0</v>
      </c>
      <c r="K45" s="370" t="str">
        <f>IFERROR('Расчет фасадов MAX'!AE77,0)</f>
        <v>Полуфабрикаты производимые в процессе</v>
      </c>
      <c r="L45" s="370"/>
      <c r="M45" s="370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398"/>
      <c r="AG45" s="398"/>
      <c r="AH45" s="398"/>
      <c r="AI45" s="398"/>
      <c r="AJ45" s="398"/>
    </row>
    <row r="46" spans="1:36" ht="21" x14ac:dyDescent="0.4">
      <c r="B46" s="398"/>
      <c r="C46" s="370">
        <v>11</v>
      </c>
      <c r="D46" s="370" t="str">
        <f>IFERROR('Расчет фасадов MAX'!Y78,0)</f>
        <v>Клейкая ленка "ОСТОРОЖНО! СТЕКЛО"</v>
      </c>
      <c r="E46" s="370"/>
      <c r="F46" s="370" t="str">
        <f>IFERROR('Расчет фасадов MAX'!Z78,0)</f>
        <v>43скл</v>
      </c>
      <c r="G46" s="370">
        <f>IFERROR('Расчет фасадов MAX'!AC78,0)</f>
        <v>0</v>
      </c>
      <c r="H46" s="370">
        <f>IFERROR('Расчет фасадов MAX'!AD78,0)</f>
        <v>0</v>
      </c>
      <c r="I46" s="370">
        <f>IFERROR('Расчет фасадов MAX'!AB78,0)</f>
        <v>0</v>
      </c>
      <c r="J46" s="370">
        <f>IFERROR('Расчет фасадов MAX'!AA78,0)</f>
        <v>1</v>
      </c>
      <c r="K46" s="370" t="str">
        <f>IFERROR('Расчет фасадов MAX'!AE78,0)</f>
        <v>Полуфабрикаты производимые в процессе</v>
      </c>
      <c r="L46" s="370"/>
      <c r="M46" s="370"/>
      <c r="N46" s="398"/>
      <c r="O46" s="398"/>
      <c r="P46" s="398"/>
      <c r="Q46" s="398"/>
      <c r="R46" s="398"/>
      <c r="S46" s="398"/>
      <c r="T46" s="398"/>
      <c r="U46" s="398"/>
      <c r="V46" s="398"/>
      <c r="W46" s="398"/>
      <c r="X46" s="398"/>
      <c r="Y46" s="398"/>
      <c r="Z46" s="398"/>
      <c r="AA46" s="398"/>
      <c r="AB46" s="398"/>
      <c r="AC46" s="398"/>
      <c r="AD46" s="398"/>
      <c r="AE46" s="398"/>
      <c r="AF46" s="398"/>
      <c r="AG46" s="398"/>
      <c r="AH46" s="398"/>
      <c r="AI46" s="398"/>
      <c r="AJ46" s="398"/>
    </row>
    <row r="47" spans="1:36" ht="21" x14ac:dyDescent="0.4">
      <c r="B47" s="398"/>
      <c r="C47" s="370">
        <v>12</v>
      </c>
      <c r="D47" s="370" t="str">
        <f>IFERROR('Расчет фасадов MAX'!Y79,0)</f>
        <v>Пленка-мешок полиэтиленовый 250*700*0,1</v>
      </c>
      <c r="E47" s="370"/>
      <c r="F47" s="370" t="str">
        <f>IFERROR('Расчет фасадов MAX'!Z79,0)</f>
        <v>250*700*0,1</v>
      </c>
      <c r="G47" s="370">
        <f>IFERROR('Расчет фасадов MAX'!AC79,0)</f>
        <v>0</v>
      </c>
      <c r="H47" s="370">
        <f>IFERROR('Расчет фасадов MAX'!AD79,0)</f>
        <v>1</v>
      </c>
      <c r="I47" s="370">
        <f>IFERROR('Расчет фасадов MAX'!AB79,0)</f>
        <v>0</v>
      </c>
      <c r="J47" s="370">
        <f>IFERROR('Расчет фасадов MAX'!AA79,0)</f>
        <v>1</v>
      </c>
      <c r="K47" s="370" t="str">
        <f>IFERROR('Расчет фасадов MAX'!AE79,0)</f>
        <v>Полуфабрикаты производимые в процессе</v>
      </c>
      <c r="L47" s="370"/>
      <c r="M47" s="370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8"/>
      <c r="AA47" s="398"/>
      <c r="AB47" s="398"/>
      <c r="AC47" s="398"/>
      <c r="AD47" s="398"/>
      <c r="AE47" s="398"/>
      <c r="AF47" s="398"/>
      <c r="AG47" s="398"/>
      <c r="AH47" s="398"/>
      <c r="AI47" s="398"/>
      <c r="AJ47" s="398"/>
    </row>
    <row r="48" spans="1:36" ht="21" x14ac:dyDescent="0.4">
      <c r="B48" s="398"/>
      <c r="C48" s="370">
        <v>13</v>
      </c>
      <c r="D48" s="370">
        <f>IFERROR('Расчет фасадов MAX'!Y80,0)</f>
        <v>0</v>
      </c>
      <c r="E48" s="370"/>
      <c r="F48" s="370">
        <f>IFERROR('Расчет фасадов MAX'!Z80,0)</f>
        <v>0</v>
      </c>
      <c r="G48" s="370">
        <f>IFERROR('Расчет фасадов MAX'!AC80,0)</f>
        <v>0</v>
      </c>
      <c r="H48" s="370">
        <f>IFERROR('Расчет фасадов MAX'!AD80,0)</f>
        <v>0</v>
      </c>
      <c r="I48" s="370">
        <f>IFERROR('Расчет фасадов MAX'!AB80,0)</f>
        <v>0</v>
      </c>
      <c r="J48" s="370">
        <f>IFERROR('Расчет фасадов MAX'!AA80,0)</f>
        <v>0</v>
      </c>
      <c r="K48" s="370" t="str">
        <f>IFERROR('Расчет фасадов MAX'!AE80,0)</f>
        <v>Фурнитура</v>
      </c>
      <c r="L48" s="370"/>
      <c r="M48" s="370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8"/>
      <c r="AC48" s="398"/>
      <c r="AD48" s="398"/>
      <c r="AE48" s="398"/>
      <c r="AF48" s="398"/>
      <c r="AG48" s="398"/>
      <c r="AH48" s="398"/>
      <c r="AI48" s="398"/>
      <c r="AJ48" s="398"/>
    </row>
    <row r="49" spans="1:36" ht="21" x14ac:dyDescent="0.4">
      <c r="B49" s="398"/>
      <c r="C49" s="370">
        <v>14</v>
      </c>
      <c r="D49" s="370">
        <f>IFERROR('Расчет фасадов MAX'!Y81,0)</f>
        <v>0</v>
      </c>
      <c r="E49" s="370"/>
      <c r="F49" s="370">
        <f>IFERROR('Расчет фасадов MAX'!Z81,0)</f>
        <v>0</v>
      </c>
      <c r="G49" s="370">
        <f>IFERROR('Расчет фасадов MAX'!AC81,0)</f>
        <v>0</v>
      </c>
      <c r="H49" s="370">
        <f>IFERROR('Расчет фасадов MAX'!AD81,0)</f>
        <v>0</v>
      </c>
      <c r="I49" s="370">
        <f>IFERROR('Расчет фасадов MAX'!AB81,0)</f>
        <v>0</v>
      </c>
      <c r="J49" s="370">
        <f>IFERROR('Расчет фасадов MAX'!AA81,0)</f>
        <v>0</v>
      </c>
      <c r="K49" s="370" t="str">
        <f>IFERROR('Расчет фасадов MAX'!AE81,0)</f>
        <v>Полуфабрикаты производимые в процессе</v>
      </c>
      <c r="L49" s="370"/>
      <c r="M49" s="370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8"/>
      <c r="AJ49" s="398"/>
    </row>
    <row r="50" spans="1:36" ht="21.6" thickBot="1" x14ac:dyDescent="0.45">
      <c r="A50" s="245"/>
      <c r="B50" s="400"/>
      <c r="C50" s="373">
        <v>15</v>
      </c>
      <c r="D50" s="373">
        <f>IFERROR('Расчет фасадов MAX'!Y82,0)</f>
        <v>0</v>
      </c>
      <c r="E50" s="373"/>
      <c r="F50" s="373">
        <f>IFERROR('Расчет фасадов MAX'!Z82,0)</f>
        <v>0</v>
      </c>
      <c r="G50" s="373">
        <f>IFERROR('Расчет фасадов MAX'!AC82,0)</f>
        <v>0</v>
      </c>
      <c r="H50" s="373">
        <f>IFERROR('Расчет фасадов MAX'!AD82,0)</f>
        <v>0</v>
      </c>
      <c r="I50" s="373">
        <f>IFERROR('Расчет фасадов MAX'!AB82,0)</f>
        <v>0</v>
      </c>
      <c r="J50" s="373">
        <f>IFERROR('Расчет фасадов MAX'!AA82,0)</f>
        <v>0</v>
      </c>
      <c r="K50" s="373" t="str">
        <f>IFERROR('Расчет фасадов MAX'!AE82,0)</f>
        <v>Фурнитура</v>
      </c>
      <c r="L50" s="373"/>
      <c r="M50" s="373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  <c r="AE50" s="400"/>
      <c r="AF50" s="400"/>
      <c r="AG50" s="400"/>
      <c r="AH50" s="400"/>
      <c r="AI50" s="400"/>
      <c r="AJ50" s="400"/>
    </row>
    <row r="51" spans="1:36" ht="84" x14ac:dyDescent="0.4">
      <c r="B51" s="388" t="s">
        <v>521</v>
      </c>
      <c r="C51" s="388"/>
      <c r="D51" s="388" t="s">
        <v>2</v>
      </c>
      <c r="E51" s="388" t="s">
        <v>0</v>
      </c>
      <c r="F51" s="388" t="s">
        <v>233</v>
      </c>
      <c r="G51" s="389" t="s">
        <v>558</v>
      </c>
      <c r="H51" s="390" t="s">
        <v>559</v>
      </c>
      <c r="I51" s="391" t="s">
        <v>560</v>
      </c>
      <c r="J51" s="392" t="s">
        <v>149</v>
      </c>
      <c r="K51" s="393" t="s">
        <v>237</v>
      </c>
      <c r="L51" s="394" t="s">
        <v>522</v>
      </c>
      <c r="M51" s="395"/>
      <c r="N51" s="396" t="s">
        <v>14</v>
      </c>
      <c r="O51" s="396" t="s">
        <v>523</v>
      </c>
      <c r="P51" s="396" t="s">
        <v>524</v>
      </c>
      <c r="Q51" s="396" t="s">
        <v>525</v>
      </c>
      <c r="R51" s="396" t="s">
        <v>526</v>
      </c>
      <c r="S51" s="396" t="s">
        <v>527</v>
      </c>
      <c r="T51" s="396" t="s">
        <v>528</v>
      </c>
      <c r="U51" s="396" t="s">
        <v>529</v>
      </c>
      <c r="V51" s="396" t="s">
        <v>530</v>
      </c>
      <c r="W51" s="396" t="s">
        <v>531</v>
      </c>
      <c r="X51" s="396" t="s">
        <v>532</v>
      </c>
      <c r="Y51" s="397" t="s">
        <v>533</v>
      </c>
      <c r="Z51" s="396" t="s">
        <v>534</v>
      </c>
      <c r="AA51" s="396" t="s">
        <v>535</v>
      </c>
      <c r="AB51" s="396" t="s">
        <v>536</v>
      </c>
      <c r="AC51" s="396" t="s">
        <v>537</v>
      </c>
      <c r="AD51" s="396" t="s">
        <v>538</v>
      </c>
      <c r="AE51" s="396" t="s">
        <v>539</v>
      </c>
      <c r="AF51" s="396" t="s">
        <v>540</v>
      </c>
      <c r="AG51" s="396" t="s">
        <v>541</v>
      </c>
      <c r="AH51" s="396" t="s">
        <v>542</v>
      </c>
      <c r="AI51" s="396" t="s">
        <v>543</v>
      </c>
      <c r="AJ51" s="396" t="s">
        <v>379</v>
      </c>
    </row>
    <row r="52" spans="1:36" ht="21" x14ac:dyDescent="0.4">
      <c r="A52" t="str">
        <f>IF('Фасады EDGE MAX'!$X$17&gt;0, "ВФасад", "Пусто")</f>
        <v>Пусто</v>
      </c>
      <c r="B52" s="662" t="s">
        <v>551</v>
      </c>
      <c r="C52" s="367">
        <v>1</v>
      </c>
      <c r="D52" s="367" t="str">
        <f>IFERROR('Расчет фасадов MAX'!Y100,0)</f>
        <v>Фасад, Рамочный узкий профиль</v>
      </c>
      <c r="E52" s="367"/>
      <c r="F52" s="367">
        <f>IFERROR('Расчет фасадов MAX'!Z100,0)</f>
        <v>0</v>
      </c>
      <c r="G52" s="367" t="str">
        <f>IFERROR('Расчет фасадов MAX'!AC100,0)</f>
        <v>0мм-0шт</v>
      </c>
      <c r="H52" s="368">
        <f>IFERROR('Расчет фасадов MAX'!AD100,0)</f>
        <v>0</v>
      </c>
      <c r="I52" s="367">
        <f>IFERROR('Расчет фасадов MAX'!AB100,0)</f>
        <v>0</v>
      </c>
      <c r="J52" s="369">
        <f>IFERROR('Расчет фасадов MAX'!AA100,0)</f>
        <v>0</v>
      </c>
      <c r="K52" s="367" t="str">
        <f>IFERROR('Расчет фасадов MAX'!AE100,0)</f>
        <v>Полуфабрикаты производимые в процессе</v>
      </c>
      <c r="L52" s="367"/>
      <c r="M52" s="367"/>
      <c r="N52" s="398" t="s">
        <v>544</v>
      </c>
      <c r="O52" s="398" t="s">
        <v>545</v>
      </c>
      <c r="P52" s="398" t="str">
        <f>IFERROR('Расчет фасадов MAX'!$B$105,0)</f>
        <v>.</v>
      </c>
      <c r="Q52" s="398"/>
      <c r="R52" s="398"/>
      <c r="S52" s="398"/>
      <c r="T52" s="398"/>
      <c r="U52" s="398"/>
      <c r="V52" s="398" t="s">
        <v>546</v>
      </c>
      <c r="W52" s="398" t="s">
        <v>546</v>
      </c>
      <c r="X52" s="398" t="s">
        <v>547</v>
      </c>
      <c r="Y52" s="398" t="s">
        <v>361</v>
      </c>
      <c r="Z52" s="398"/>
      <c r="AA52" s="398">
        <f>'Фасады EDGE MAX'!$C$17</f>
        <v>0</v>
      </c>
      <c r="AB52" s="398" t="s">
        <v>551</v>
      </c>
      <c r="AC52" s="398">
        <f>'Фасады EDGE MAX'!$G$17</f>
        <v>0</v>
      </c>
      <c r="AD52" s="398">
        <f>'Фасады EDGE MAX'!$I$17</f>
        <v>0</v>
      </c>
      <c r="AE52" s="398"/>
      <c r="AF52" s="398"/>
      <c r="AG52" s="398"/>
      <c r="AH52" s="398"/>
      <c r="AI52" s="398"/>
      <c r="AJ52" s="399">
        <f>'Фасады EDGE MAX'!$W$17</f>
        <v>0</v>
      </c>
    </row>
    <row r="53" spans="1:36" ht="21" x14ac:dyDescent="0.4">
      <c r="B53" s="662"/>
      <c r="C53" s="370">
        <v>2</v>
      </c>
      <c r="D53" s="370" t="str">
        <f>IFERROR('Расчет фасадов MAX'!Y101,0)</f>
        <v>Фасад, Рамочный узкий профиль</v>
      </c>
      <c r="E53" s="370"/>
      <c r="F53" s="370">
        <f>IFERROR('Расчет фасадов MAX'!Z101,0)</f>
        <v>0</v>
      </c>
      <c r="G53" s="370" t="str">
        <f>IFERROR('Расчет фасадов MAX'!AC101,0)</f>
        <v>0мм-0шт</v>
      </c>
      <c r="H53" s="370">
        <f>IFERROR('Расчет фасадов MAX'!AD101,0)</f>
        <v>0</v>
      </c>
      <c r="I53" s="370">
        <f>IFERROR('Расчет фасадов MAX'!AB101,0)</f>
        <v>0</v>
      </c>
      <c r="J53" s="370">
        <f>IFERROR('Расчет фасадов MAX'!AA101,0)</f>
        <v>0</v>
      </c>
      <c r="K53" s="370" t="str">
        <f>IFERROR('Расчет фасадов MAX'!AE101,0)</f>
        <v>Полуфабрикаты производимые в процессе</v>
      </c>
      <c r="L53" s="370"/>
      <c r="M53" s="370"/>
      <c r="N53" s="398"/>
      <c r="O53" s="398"/>
      <c r="P53" s="398"/>
      <c r="Q53" s="398"/>
      <c r="R53" s="398"/>
      <c r="S53" s="398"/>
      <c r="T53" s="398"/>
      <c r="U53" s="398"/>
      <c r="V53" s="398"/>
      <c r="W53" s="398"/>
      <c r="X53" s="398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</row>
    <row r="54" spans="1:36" ht="21" x14ac:dyDescent="0.4">
      <c r="B54" s="398"/>
      <c r="C54" s="370">
        <v>3</v>
      </c>
      <c r="D54" s="370" t="str">
        <f>IFERROR('Расчет фасадов MAX'!Y102,0)</f>
        <v>Фасад, Рамочный узкий профиль</v>
      </c>
      <c r="E54" s="370"/>
      <c r="F54" s="370">
        <f>IFERROR('Расчет фасадов MAX'!Z102,0)</f>
        <v>0</v>
      </c>
      <c r="G54" s="370" t="str">
        <f>IFERROR('Расчет фасадов MAX'!AC102,0)</f>
        <v>0мм-0шт</v>
      </c>
      <c r="H54" s="370">
        <f>IFERROR('Расчет фасадов MAX'!AD102,0)</f>
        <v>0</v>
      </c>
      <c r="I54" s="370">
        <f>IFERROR('Расчет фасадов MAX'!AB102,0)</f>
        <v>0</v>
      </c>
      <c r="J54" s="370">
        <f>IFERROR('Расчет фасадов MAX'!AA102,0)</f>
        <v>0</v>
      </c>
      <c r="K54" s="370" t="str">
        <f>IFERROR('Расчет фасадов MAX'!AE102,0)</f>
        <v>Полуфабрикаты производимые в процессе</v>
      </c>
      <c r="L54" s="370"/>
      <c r="M54" s="370"/>
      <c r="N54" s="398"/>
      <c r="O54" s="398"/>
      <c r="P54" s="398"/>
      <c r="Q54" s="398"/>
      <c r="R54" s="398"/>
      <c r="S54" s="398"/>
      <c r="T54" s="398"/>
      <c r="U54" s="398"/>
      <c r="V54" s="398"/>
      <c r="W54" s="398"/>
      <c r="X54" s="398"/>
      <c r="Y54" s="398"/>
      <c r="Z54" s="398"/>
      <c r="AA54" s="398"/>
      <c r="AB54" s="398"/>
      <c r="AC54" s="398"/>
      <c r="AD54" s="398"/>
      <c r="AE54" s="398"/>
      <c r="AF54" s="398"/>
      <c r="AG54" s="398"/>
      <c r="AH54" s="398"/>
      <c r="AI54" s="398"/>
      <c r="AJ54" s="398"/>
    </row>
    <row r="55" spans="1:36" ht="21" x14ac:dyDescent="0.4">
      <c r="B55" s="398"/>
      <c r="C55" s="370">
        <v>4</v>
      </c>
      <c r="D55" s="370" t="str">
        <f>IFERROR('Расчет фасадов MAX'!Y103,0)</f>
        <v>Фасад, Рамочный узкий профиль</v>
      </c>
      <c r="E55" s="370"/>
      <c r="F55" s="370">
        <f>IFERROR('Расчет фасадов MAX'!Z103,0)</f>
        <v>0</v>
      </c>
      <c r="G55" s="370" t="str">
        <f>IFERROR('Расчет фасадов MAX'!AC103,0)</f>
        <v>0мм-0шт</v>
      </c>
      <c r="H55" s="370">
        <f>IFERROR('Расчет фасадов MAX'!AD103,0)</f>
        <v>0</v>
      </c>
      <c r="I55" s="370">
        <f>IFERROR('Расчет фасадов MAX'!AB103,0)</f>
        <v>0</v>
      </c>
      <c r="J55" s="370">
        <f>IFERROR('Расчет фасадов MAX'!AA103,0)</f>
        <v>0</v>
      </c>
      <c r="K55" s="370" t="str">
        <f>IFERROR('Расчет фасадов MAX'!AE103,0)</f>
        <v>Полуфабрикаты производимые в процессе</v>
      </c>
      <c r="L55" s="370"/>
      <c r="M55" s="370"/>
      <c r="N55" s="398"/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8"/>
      <c r="AE55" s="398"/>
      <c r="AF55" s="398"/>
      <c r="AG55" s="398"/>
      <c r="AH55" s="398"/>
      <c r="AI55" s="398"/>
      <c r="AJ55" s="398"/>
    </row>
    <row r="56" spans="1:36" ht="21" x14ac:dyDescent="0.4">
      <c r="B56" s="398"/>
      <c r="C56" s="370">
        <v>5</v>
      </c>
      <c r="D56" s="370">
        <f>IFERROR('Расчет фасадов MAX'!Y104,0)</f>
        <v>0</v>
      </c>
      <c r="E56" s="370"/>
      <c r="F56" s="370" t="str">
        <f>IFERROR('Расчет фасадов MAX'!Z104,0)</f>
        <v>.</v>
      </c>
      <c r="G56" s="370">
        <f>IFERROR('Расчет фасадов MAX'!AC104,0)</f>
        <v>0</v>
      </c>
      <c r="H56" s="370">
        <f>IFERROR('Расчет фасадов MAX'!AD104,0)</f>
        <v>0</v>
      </c>
      <c r="I56" s="370" t="str">
        <f>IFERROR('Расчет фасадов MAX'!AB104,0)</f>
        <v>В -6, Ш -6</v>
      </c>
      <c r="J56" s="370">
        <f>IFERROR('Расчет фасадов MAX'!AA104,0)</f>
        <v>0</v>
      </c>
      <c r="K56" s="370" t="str">
        <f>IFERROR('Расчет фасадов MAX'!AE104,0)</f>
        <v>Вставки</v>
      </c>
      <c r="L56" s="370"/>
      <c r="M56" s="370"/>
      <c r="N56" s="398"/>
      <c r="O56" s="398"/>
      <c r="P56" s="398"/>
      <c r="Q56" s="398"/>
      <c r="R56" s="398"/>
      <c r="S56" s="398"/>
      <c r="T56" s="398"/>
      <c r="U56" s="398"/>
      <c r="V56" s="398"/>
      <c r="W56" s="398"/>
      <c r="X56" s="398"/>
      <c r="Y56" s="398"/>
      <c r="Z56" s="398"/>
      <c r="AA56" s="398"/>
      <c r="AB56" s="398"/>
      <c r="AC56" s="398"/>
      <c r="AD56" s="398"/>
      <c r="AE56" s="398"/>
      <c r="AF56" s="398"/>
      <c r="AG56" s="398"/>
      <c r="AH56" s="398"/>
      <c r="AI56" s="398"/>
      <c r="AJ56" s="398"/>
    </row>
    <row r="57" spans="1:36" ht="21" x14ac:dyDescent="0.4">
      <c r="B57" s="398"/>
      <c r="C57" s="370">
        <v>6</v>
      </c>
      <c r="D57" s="370" t="str">
        <f>IFERROR('Расчет фасадов MAX'!Y105,0)</f>
        <v>Воздушно-пузырьковая пленка 3-10-115 (1,2*100)</v>
      </c>
      <c r="E57" s="370"/>
      <c r="F57" s="370" t="str">
        <f>IFERROR('Расчет фасадов MAX'!Z105,0)</f>
        <v>3-10-115</v>
      </c>
      <c r="G57" s="370">
        <f>IFERROR('Расчет фасадов MAX'!AC105,0)</f>
        <v>0</v>
      </c>
      <c r="H57" s="370">
        <f>IFERROR('Расчет фасадов MAX'!AD105,0)</f>
        <v>0</v>
      </c>
      <c r="I57" s="370">
        <f>IFERROR('Расчет фасадов MAX'!AB105,0)</f>
        <v>0</v>
      </c>
      <c r="J57" s="370">
        <f>IFERROR('Расчет фасадов MAX'!AA105,0)</f>
        <v>0</v>
      </c>
      <c r="K57" s="370" t="str">
        <f>IFERROR('Расчет фасадов MAX'!AE105,0)</f>
        <v>Полуфабрикаты производимые в процессе</v>
      </c>
      <c r="L57" s="370"/>
      <c r="M57" s="370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398"/>
      <c r="AC57" s="398"/>
      <c r="AD57" s="398"/>
      <c r="AE57" s="398"/>
      <c r="AF57" s="398"/>
      <c r="AG57" s="398"/>
      <c r="AH57" s="398"/>
      <c r="AI57" s="398"/>
      <c r="AJ57" s="398"/>
    </row>
    <row r="58" spans="1:36" ht="21" x14ac:dyDescent="0.4">
      <c r="B58" s="398"/>
      <c r="C58" s="370">
        <v>7</v>
      </c>
      <c r="D58" s="370" t="str">
        <f>IFERROR('Расчет фасадов MAX'!Y106,0)</f>
        <v>Новофлекс П 40-50 (L3100)</v>
      </c>
      <c r="E58" s="370"/>
      <c r="F58" s="370" t="str">
        <f>IFERROR('Расчет фасадов MAX'!Z106,0)</f>
        <v>П 40-50</v>
      </c>
      <c r="G58" s="370">
        <f>IFERROR('Расчет фасадов MAX'!AC106,0)</f>
        <v>0</v>
      </c>
      <c r="H58" s="370">
        <f>IFERROR('Расчет фасадов MAX'!AD106,0)</f>
        <v>0</v>
      </c>
      <c r="I58" s="370">
        <f>IFERROR('Расчет фасадов MAX'!AB106,0)</f>
        <v>0</v>
      </c>
      <c r="J58" s="370">
        <f>IFERROR('Расчет фасадов MAX'!AA106,0)</f>
        <v>0</v>
      </c>
      <c r="K58" s="370" t="str">
        <f>IFERROR('Расчет фасадов MAX'!AE106,0)</f>
        <v>Полуфабрикаты производимые в процессе</v>
      </c>
      <c r="L58" s="370"/>
      <c r="M58" s="370"/>
      <c r="N58" s="398"/>
      <c r="O58" s="398"/>
      <c r="P58" s="398"/>
      <c r="Q58" s="398"/>
      <c r="R58" s="398"/>
      <c r="S58" s="398"/>
      <c r="T58" s="398"/>
      <c r="U58" s="398"/>
      <c r="V58" s="398"/>
      <c r="W58" s="398"/>
      <c r="X58" s="398"/>
      <c r="Y58" s="398"/>
      <c r="Z58" s="398"/>
      <c r="AA58" s="398"/>
      <c r="AB58" s="398"/>
      <c r="AC58" s="398"/>
      <c r="AD58" s="398"/>
      <c r="AE58" s="398"/>
      <c r="AF58" s="398"/>
      <c r="AG58" s="398"/>
      <c r="AH58" s="398"/>
      <c r="AI58" s="398"/>
      <c r="AJ58" s="398"/>
    </row>
    <row r="59" spans="1:36" ht="21" x14ac:dyDescent="0.4">
      <c r="B59" s="398"/>
      <c r="C59" s="370">
        <v>8</v>
      </c>
      <c r="D59" s="370" t="str">
        <f>IFERROR('Расчет фасадов MAX'!Y107,0)</f>
        <v>Стрейч плёнка 500*300 (087.0800.50) первичная</v>
      </c>
      <c r="E59" s="370"/>
      <c r="F59" s="370" t="str">
        <f>IFERROR('Расчет фасадов MAX'!Z107,0)</f>
        <v>087.0800.50</v>
      </c>
      <c r="G59" s="370">
        <f>IFERROR('Расчет фасадов MAX'!AC107,0)</f>
        <v>0</v>
      </c>
      <c r="H59" s="370">
        <f>IFERROR('Расчет фасадов MAX'!AD107,0)</f>
        <v>0</v>
      </c>
      <c r="I59" s="370">
        <f>IFERROR('Расчет фасадов MAX'!AB107,0)</f>
        <v>0</v>
      </c>
      <c r="J59" s="370">
        <f>IFERROR('Расчет фасадов MAX'!AA107,0)</f>
        <v>0</v>
      </c>
      <c r="K59" s="370" t="str">
        <f>IFERROR('Расчет фасадов MAX'!AE107,0)</f>
        <v>Полуфабрикаты производимые в процессе</v>
      </c>
      <c r="L59" s="370"/>
      <c r="M59" s="370"/>
      <c r="N59" s="398"/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398"/>
      <c r="AA59" s="398"/>
      <c r="AB59" s="398"/>
      <c r="AC59" s="398"/>
      <c r="AD59" s="398"/>
      <c r="AE59" s="398"/>
      <c r="AF59" s="398"/>
      <c r="AG59" s="398"/>
      <c r="AH59" s="398"/>
      <c r="AI59" s="398"/>
      <c r="AJ59" s="398"/>
    </row>
    <row r="60" spans="1:36" ht="21" x14ac:dyDescent="0.4">
      <c r="B60" s="398"/>
      <c r="C60" s="370">
        <v>9</v>
      </c>
      <c r="D60" s="370" t="str">
        <f>IFERROR('Расчет фасадов MAX'!Y108,0)</f>
        <v>Скотч АРИСТО 2021 06.21</v>
      </c>
      <c r="E60" s="370"/>
      <c r="F60" s="370" t="str">
        <f>IFERROR('Расчет фасадов MAX'!Z108,0)</f>
        <v>ARR-0335</v>
      </c>
      <c r="G60" s="370">
        <f>IFERROR('Расчет фасадов MAX'!AC108,0)</f>
        <v>0</v>
      </c>
      <c r="H60" s="370">
        <f>IFERROR('Расчет фасадов MAX'!AD108,0)</f>
        <v>0</v>
      </c>
      <c r="I60" s="370">
        <f>IFERROR('Расчет фасадов MAX'!AB108,0)</f>
        <v>0</v>
      </c>
      <c r="J60" s="370">
        <f>IFERROR('Расчет фасадов MAX'!AA108,0)</f>
        <v>0</v>
      </c>
      <c r="K60" s="370" t="str">
        <f>IFERROR('Расчет фасадов MAX'!AE108,0)</f>
        <v>Полуфабрикаты производимые в процессе</v>
      </c>
      <c r="L60" s="370"/>
      <c r="M60" s="370"/>
      <c r="N60" s="398"/>
      <c r="O60" s="398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398"/>
      <c r="AA60" s="398"/>
      <c r="AB60" s="398"/>
      <c r="AC60" s="398"/>
      <c r="AD60" s="398"/>
      <c r="AE60" s="398"/>
      <c r="AF60" s="398"/>
      <c r="AG60" s="398"/>
      <c r="AH60" s="398"/>
      <c r="AI60" s="398"/>
      <c r="AJ60" s="398"/>
    </row>
    <row r="61" spans="1:36" ht="21" x14ac:dyDescent="0.4">
      <c r="B61" s="398"/>
      <c r="C61" s="370">
        <v>10</v>
      </c>
      <c r="D61" s="370" t="str">
        <f>IFERROR('Расчет фасадов MAX'!Y109,0)</f>
        <v>Клейкая лента прозрачная 72мм*45мм*50мкм</v>
      </c>
      <c r="E61" s="370"/>
      <c r="F61" s="370" t="str">
        <f>IFERROR('Расчет фасадов MAX'!Z109,0)</f>
        <v>0800.50</v>
      </c>
      <c r="G61" s="370">
        <f>IFERROR('Расчет фасадов MAX'!AC109,0)</f>
        <v>0</v>
      </c>
      <c r="H61" s="370">
        <f>IFERROR('Расчет фасадов MAX'!AD109,0)</f>
        <v>0</v>
      </c>
      <c r="I61" s="370">
        <f>IFERROR('Расчет фасадов MAX'!AB109,0)</f>
        <v>0</v>
      </c>
      <c r="J61" s="370">
        <f>IFERROR('Расчет фасадов MAX'!AA109,0)</f>
        <v>0</v>
      </c>
      <c r="K61" s="370" t="str">
        <f>IFERROR('Расчет фасадов MAX'!AE109,0)</f>
        <v>Полуфабрикаты производимые в процессе</v>
      </c>
      <c r="L61" s="370"/>
      <c r="M61" s="370"/>
      <c r="N61" s="398"/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398"/>
      <c r="AA61" s="398"/>
      <c r="AB61" s="398"/>
      <c r="AC61" s="398"/>
      <c r="AD61" s="398"/>
      <c r="AE61" s="398"/>
      <c r="AF61" s="398"/>
      <c r="AG61" s="398"/>
      <c r="AH61" s="398"/>
      <c r="AI61" s="398"/>
      <c r="AJ61" s="398"/>
    </row>
    <row r="62" spans="1:36" ht="21" x14ac:dyDescent="0.4">
      <c r="B62" s="398"/>
      <c r="C62" s="370">
        <v>11</v>
      </c>
      <c r="D62" s="370" t="str">
        <f>IFERROR('Расчет фасадов MAX'!Y110,0)</f>
        <v>Клейкая ленка "ОСТОРОЖНО! СТЕКЛО"</v>
      </c>
      <c r="E62" s="370"/>
      <c r="F62" s="370" t="str">
        <f>IFERROR('Расчет фасадов MAX'!Z110,0)</f>
        <v>43скл</v>
      </c>
      <c r="G62" s="370">
        <f>IFERROR('Расчет фасадов MAX'!AC110,0)</f>
        <v>0</v>
      </c>
      <c r="H62" s="370">
        <f>IFERROR('Расчет фасадов MAX'!AD110,0)</f>
        <v>0</v>
      </c>
      <c r="I62" s="370">
        <f>IFERROR('Расчет фасадов MAX'!AB110,0)</f>
        <v>0</v>
      </c>
      <c r="J62" s="370">
        <f>IFERROR('Расчет фасадов MAX'!AA110,0)</f>
        <v>1</v>
      </c>
      <c r="K62" s="370" t="str">
        <f>IFERROR('Расчет фасадов MAX'!AE110,0)</f>
        <v>Полуфабрикаты производимые в процессе</v>
      </c>
      <c r="L62" s="370"/>
      <c r="M62" s="370"/>
      <c r="N62" s="398"/>
      <c r="O62" s="398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398"/>
      <c r="AA62" s="398"/>
      <c r="AB62" s="398"/>
      <c r="AC62" s="398"/>
      <c r="AD62" s="398"/>
      <c r="AE62" s="398"/>
      <c r="AF62" s="398"/>
      <c r="AG62" s="398"/>
      <c r="AH62" s="398"/>
      <c r="AI62" s="398"/>
      <c r="AJ62" s="398"/>
    </row>
    <row r="63" spans="1:36" ht="21" x14ac:dyDescent="0.4">
      <c r="B63" s="398"/>
      <c r="C63" s="370">
        <v>12</v>
      </c>
      <c r="D63" s="370" t="str">
        <f>IFERROR('Расчет фасадов MAX'!Y111,0)</f>
        <v>Пленка-мешок полиэтиленовый 250*700*0,1</v>
      </c>
      <c r="E63" s="370"/>
      <c r="F63" s="370" t="str">
        <f>IFERROR('Расчет фасадов MAX'!Z111,0)</f>
        <v>250*700*0,1</v>
      </c>
      <c r="G63" s="370">
        <f>IFERROR('Расчет фасадов MAX'!AC111,0)</f>
        <v>0</v>
      </c>
      <c r="H63" s="370">
        <f>IFERROR('Расчет фасадов MAX'!AD111,0)</f>
        <v>1</v>
      </c>
      <c r="I63" s="370">
        <f>IFERROR('Расчет фасадов MAX'!AB111,0)</f>
        <v>0</v>
      </c>
      <c r="J63" s="370">
        <f>IFERROR('Расчет фасадов MAX'!AA111,0)</f>
        <v>1</v>
      </c>
      <c r="K63" s="370" t="str">
        <f>IFERROR('Расчет фасадов MAX'!AE111,0)</f>
        <v>Полуфабрикаты производимые в процессе</v>
      </c>
      <c r="L63" s="370"/>
      <c r="M63" s="370"/>
      <c r="N63" s="398"/>
      <c r="O63" s="398"/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398"/>
      <c r="AA63" s="398"/>
      <c r="AB63" s="398"/>
      <c r="AC63" s="398"/>
      <c r="AD63" s="398"/>
      <c r="AE63" s="398"/>
      <c r="AF63" s="398"/>
      <c r="AG63" s="398"/>
      <c r="AH63" s="398"/>
      <c r="AI63" s="398"/>
      <c r="AJ63" s="398"/>
    </row>
    <row r="64" spans="1:36" ht="21" x14ac:dyDescent="0.4">
      <c r="B64" s="398"/>
      <c r="C64" s="370">
        <v>13</v>
      </c>
      <c r="D64" s="370">
        <f>IFERROR('Расчет фасадов MAX'!Y112,0)</f>
        <v>0</v>
      </c>
      <c r="E64" s="370"/>
      <c r="F64" s="370">
        <f>IFERROR('Расчет фасадов MAX'!Z112,0)</f>
        <v>0</v>
      </c>
      <c r="G64" s="370">
        <f>IFERROR('Расчет фасадов MAX'!AC112,0)</f>
        <v>0</v>
      </c>
      <c r="H64" s="370">
        <f>IFERROR('Расчет фасадов MAX'!AD112,0)</f>
        <v>0</v>
      </c>
      <c r="I64" s="370">
        <f>IFERROR('Расчет фасадов MAX'!AB112,0)</f>
        <v>0</v>
      </c>
      <c r="J64" s="370">
        <f>IFERROR('Расчет фасадов MAX'!AA112,0)</f>
        <v>0</v>
      </c>
      <c r="K64" s="370" t="str">
        <f>IFERROR('Расчет фасадов MAX'!AE112,0)</f>
        <v>Фурнитура</v>
      </c>
      <c r="L64" s="370"/>
      <c r="M64" s="370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398"/>
      <c r="AC64" s="398"/>
      <c r="AD64" s="398"/>
      <c r="AE64" s="398"/>
      <c r="AF64" s="398"/>
      <c r="AG64" s="398"/>
      <c r="AH64" s="398"/>
      <c r="AI64" s="398"/>
      <c r="AJ64" s="398"/>
    </row>
    <row r="65" spans="1:36" ht="21" x14ac:dyDescent="0.4">
      <c r="B65" s="398"/>
      <c r="C65" s="370">
        <v>14</v>
      </c>
      <c r="D65" s="370">
        <f>IFERROR('Расчет фасадов MAX'!Y113,0)</f>
        <v>0</v>
      </c>
      <c r="E65" s="370"/>
      <c r="F65" s="370">
        <f>IFERROR('Расчет фасадов MAX'!Z113,0)</f>
        <v>0</v>
      </c>
      <c r="G65" s="370">
        <f>IFERROR('Расчет фасадов MAX'!AC113,0)</f>
        <v>0</v>
      </c>
      <c r="H65" s="370">
        <f>IFERROR('Расчет фасадов MAX'!AD113,0)</f>
        <v>0</v>
      </c>
      <c r="I65" s="370">
        <f>IFERROR('Расчет фасадов MAX'!AB113,0)</f>
        <v>0</v>
      </c>
      <c r="J65" s="370">
        <f>IFERROR('Расчет фасадов MAX'!AA113,0)</f>
        <v>0</v>
      </c>
      <c r="K65" s="370" t="str">
        <f>IFERROR('Расчет фасадов MAX'!AE113,0)</f>
        <v>Полуфабрикаты производимые в процессе</v>
      </c>
      <c r="L65" s="370"/>
      <c r="M65" s="370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98"/>
      <c r="AC65" s="398"/>
      <c r="AD65" s="398"/>
      <c r="AE65" s="398"/>
      <c r="AF65" s="398"/>
      <c r="AG65" s="398"/>
      <c r="AH65" s="398"/>
      <c r="AI65" s="398"/>
      <c r="AJ65" s="398"/>
    </row>
    <row r="66" spans="1:36" ht="21.6" thickBot="1" x14ac:dyDescent="0.45">
      <c r="A66" s="245"/>
      <c r="B66" s="400"/>
      <c r="C66" s="373">
        <v>15</v>
      </c>
      <c r="D66" s="373">
        <f>IFERROR('Расчет фасадов MAX'!Y114,0)</f>
        <v>0</v>
      </c>
      <c r="E66" s="373"/>
      <c r="F66" s="373">
        <f>IFERROR('Расчет фасадов MAX'!Z114,0)</f>
        <v>0</v>
      </c>
      <c r="G66" s="373">
        <f>IFERROR('Расчет фасадов MAX'!AC114,0)</f>
        <v>0</v>
      </c>
      <c r="H66" s="373">
        <f>IFERROR('Расчет фасадов MAX'!AD114,0)</f>
        <v>0</v>
      </c>
      <c r="I66" s="373">
        <f>IFERROR('Расчет фасадов MAX'!AB114,0)</f>
        <v>0</v>
      </c>
      <c r="J66" s="373">
        <f>IFERROR('Расчет фасадов MAX'!AA114,0)</f>
        <v>0</v>
      </c>
      <c r="K66" s="373" t="str">
        <f>IFERROR('Расчет фасадов MAX'!AE114,0)</f>
        <v>Фурнитура</v>
      </c>
      <c r="L66" s="373"/>
      <c r="M66" s="373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  <c r="Z66" s="400"/>
      <c r="AA66" s="400"/>
      <c r="AB66" s="400"/>
      <c r="AC66" s="400"/>
      <c r="AD66" s="400"/>
      <c r="AE66" s="400"/>
      <c r="AF66" s="400"/>
      <c r="AG66" s="400"/>
      <c r="AH66" s="400"/>
      <c r="AI66" s="400"/>
      <c r="AJ66" s="400"/>
    </row>
    <row r="67" spans="1:36" ht="84" x14ac:dyDescent="0.4">
      <c r="B67" s="388" t="s">
        <v>521</v>
      </c>
      <c r="C67" s="388"/>
      <c r="D67" s="388" t="s">
        <v>2</v>
      </c>
      <c r="E67" s="388" t="s">
        <v>0</v>
      </c>
      <c r="F67" s="388" t="s">
        <v>233</v>
      </c>
      <c r="G67" s="389" t="s">
        <v>558</v>
      </c>
      <c r="H67" s="390" t="s">
        <v>559</v>
      </c>
      <c r="I67" s="391" t="s">
        <v>560</v>
      </c>
      <c r="J67" s="392" t="s">
        <v>149</v>
      </c>
      <c r="K67" s="393" t="s">
        <v>237</v>
      </c>
      <c r="L67" s="394" t="s">
        <v>522</v>
      </c>
      <c r="M67" s="395"/>
      <c r="N67" s="396" t="s">
        <v>14</v>
      </c>
      <c r="O67" s="396" t="s">
        <v>523</v>
      </c>
      <c r="P67" s="396" t="s">
        <v>524</v>
      </c>
      <c r="Q67" s="396" t="s">
        <v>525</v>
      </c>
      <c r="R67" s="396" t="s">
        <v>526</v>
      </c>
      <c r="S67" s="396" t="s">
        <v>527</v>
      </c>
      <c r="T67" s="396" t="s">
        <v>528</v>
      </c>
      <c r="U67" s="396" t="s">
        <v>529</v>
      </c>
      <c r="V67" s="396" t="s">
        <v>530</v>
      </c>
      <c r="W67" s="396" t="s">
        <v>531</v>
      </c>
      <c r="X67" s="396" t="s">
        <v>532</v>
      </c>
      <c r="Y67" s="397" t="s">
        <v>533</v>
      </c>
      <c r="Z67" s="396" t="s">
        <v>534</v>
      </c>
      <c r="AA67" s="396" t="s">
        <v>535</v>
      </c>
      <c r="AB67" s="396" t="s">
        <v>536</v>
      </c>
      <c r="AC67" s="396" t="s">
        <v>537</v>
      </c>
      <c r="AD67" s="396" t="s">
        <v>538</v>
      </c>
      <c r="AE67" s="396" t="s">
        <v>539</v>
      </c>
      <c r="AF67" s="396" t="s">
        <v>540</v>
      </c>
      <c r="AG67" s="396" t="s">
        <v>541</v>
      </c>
      <c r="AH67" s="396" t="s">
        <v>542</v>
      </c>
      <c r="AI67" s="396" t="s">
        <v>543</v>
      </c>
      <c r="AJ67" s="396" t="s">
        <v>379</v>
      </c>
    </row>
    <row r="68" spans="1:36" ht="21" x14ac:dyDescent="0.4">
      <c r="A68" t="str">
        <f>IF('Фасады EDGE MAX'!$X$20&gt;0, "ВФасад", "Пусто")</f>
        <v>Пусто</v>
      </c>
      <c r="B68" s="662" t="s">
        <v>552</v>
      </c>
      <c r="C68" s="367">
        <v>1</v>
      </c>
      <c r="D68" s="367" t="str">
        <f>IFERROR('Расчет фасадов MAX'!Y132,0)</f>
        <v>Фасад, Рамочный узкий профиль</v>
      </c>
      <c r="E68" s="367"/>
      <c r="F68" s="367">
        <f>IFERROR('Расчет фасадов MAX'!Z132,0)</f>
        <v>0</v>
      </c>
      <c r="G68" s="367" t="str">
        <f>IFERROR('Расчет фасадов MAX'!AC132,0)</f>
        <v>0мм-0шт</v>
      </c>
      <c r="H68" s="368">
        <f>IFERROR('Расчет фасадов MAX'!AD132,0)</f>
        <v>0</v>
      </c>
      <c r="I68" s="367">
        <f>IFERROR('Расчет фасадов MAX'!AB132,0)</f>
        <v>0</v>
      </c>
      <c r="J68" s="369">
        <f>IFERROR('Расчет фасадов MAX'!AA132,0)</f>
        <v>0</v>
      </c>
      <c r="K68" s="367" t="str">
        <f>IFERROR('Расчет фасадов MAX'!AE132,0)</f>
        <v>Полуфабрикаты производимые в процессе</v>
      </c>
      <c r="L68" s="367"/>
      <c r="M68" s="367"/>
      <c r="N68" s="398" t="s">
        <v>544</v>
      </c>
      <c r="O68" s="398" t="s">
        <v>545</v>
      </c>
      <c r="P68" s="398" t="str">
        <f>IFERROR('Расчет фасадов MAX'!$B$137,0)</f>
        <v>.</v>
      </c>
      <c r="Q68" s="398"/>
      <c r="R68" s="398"/>
      <c r="S68" s="398"/>
      <c r="T68" s="398"/>
      <c r="U68" s="398"/>
      <c r="V68" s="398" t="s">
        <v>546</v>
      </c>
      <c r="W68" s="398" t="s">
        <v>546</v>
      </c>
      <c r="X68" s="398" t="s">
        <v>547</v>
      </c>
      <c r="Y68" s="398" t="s">
        <v>361</v>
      </c>
      <c r="Z68" s="398"/>
      <c r="AA68" s="398">
        <f>'Фасады EDGE MAX'!$C$20</f>
        <v>0</v>
      </c>
      <c r="AB68" s="398" t="s">
        <v>552</v>
      </c>
      <c r="AC68" s="398">
        <f>'Фасады EDGE MAX'!$G$20</f>
        <v>0</v>
      </c>
      <c r="AD68" s="398">
        <f>'Фасады EDGE MAX'!$I$20</f>
        <v>0</v>
      </c>
      <c r="AE68" s="398"/>
      <c r="AF68" s="398"/>
      <c r="AG68" s="398"/>
      <c r="AH68" s="398"/>
      <c r="AI68" s="398"/>
      <c r="AJ68" s="399">
        <f>'Фасады EDGE MAX'!$W$20</f>
        <v>0</v>
      </c>
    </row>
    <row r="69" spans="1:36" ht="21" x14ac:dyDescent="0.4">
      <c r="B69" s="662"/>
      <c r="C69" s="370">
        <v>2</v>
      </c>
      <c r="D69" s="370" t="str">
        <f>IFERROR('Расчет фасадов MAX'!Y133,0)</f>
        <v>Фасад, Рамочный узкий профиль</v>
      </c>
      <c r="E69" s="370"/>
      <c r="F69" s="370">
        <f>IFERROR('Расчет фасадов MAX'!Z133,0)</f>
        <v>0</v>
      </c>
      <c r="G69" s="370" t="str">
        <f>IFERROR('Расчет фасадов MAX'!AC133,0)</f>
        <v>0мм-0шт</v>
      </c>
      <c r="H69" s="371">
        <f>IFERROR('Расчет фасадов MAX'!AD133,0)</f>
        <v>0</v>
      </c>
      <c r="I69" s="370">
        <f>IFERROR('Расчет фасадов MAX'!AB133,0)</f>
        <v>0</v>
      </c>
      <c r="J69" s="372">
        <f>IFERROR('Расчет фасадов MAX'!AA133,0)</f>
        <v>0</v>
      </c>
      <c r="K69" s="370" t="str">
        <f>IFERROR('Расчет фасадов MAX'!AE133,0)</f>
        <v>Полуфабрикаты производимые в процессе</v>
      </c>
      <c r="L69" s="370"/>
      <c r="M69" s="370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98"/>
      <c r="AA69" s="398"/>
      <c r="AB69" s="398"/>
      <c r="AC69" s="398"/>
      <c r="AD69" s="398"/>
      <c r="AE69" s="398"/>
      <c r="AF69" s="398"/>
      <c r="AG69" s="398"/>
      <c r="AH69" s="398"/>
      <c r="AI69" s="398"/>
      <c r="AJ69" s="398"/>
    </row>
    <row r="70" spans="1:36" ht="21" x14ac:dyDescent="0.4">
      <c r="B70" s="398"/>
      <c r="C70" s="370">
        <v>3</v>
      </c>
      <c r="D70" s="370" t="str">
        <f>IFERROR('Расчет фасадов MAX'!Y134,0)</f>
        <v>Фасад, Рамочный узкий профиль</v>
      </c>
      <c r="E70" s="370"/>
      <c r="F70" s="370">
        <f>IFERROR('Расчет фасадов MAX'!Z134,0)</f>
        <v>0</v>
      </c>
      <c r="G70" s="370" t="str">
        <f>IFERROR('Расчет фасадов MAX'!AC134,0)</f>
        <v>0мм-0шт</v>
      </c>
      <c r="H70" s="371">
        <f>IFERROR('Расчет фасадов MAX'!AD134,0)</f>
        <v>0</v>
      </c>
      <c r="I70" s="370">
        <f>IFERROR('Расчет фасадов MAX'!AB134,0)</f>
        <v>0</v>
      </c>
      <c r="J70" s="372">
        <f>IFERROR('Расчет фасадов MAX'!AA134,0)</f>
        <v>0</v>
      </c>
      <c r="K70" s="370" t="str">
        <f>IFERROR('Расчет фасадов MAX'!AE134,0)</f>
        <v>Полуфабрикаты производимые в процессе</v>
      </c>
      <c r="L70" s="370"/>
      <c r="M70" s="370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98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</row>
    <row r="71" spans="1:36" ht="21" x14ac:dyDescent="0.4">
      <c r="B71" s="398"/>
      <c r="C71" s="370">
        <v>4</v>
      </c>
      <c r="D71" s="370" t="str">
        <f>IFERROR('Расчет фасадов MAX'!Y135,0)</f>
        <v>Фасад, Рамочный узкий профиль</v>
      </c>
      <c r="E71" s="370"/>
      <c r="F71" s="370">
        <f>IFERROR('Расчет фасадов MAX'!Z135,0)</f>
        <v>0</v>
      </c>
      <c r="G71" s="370" t="str">
        <f>IFERROR('Расчет фасадов MAX'!AC135,0)</f>
        <v>0мм-0шт</v>
      </c>
      <c r="H71" s="371">
        <f>IFERROR('Расчет фасадов MAX'!AD135,0)</f>
        <v>0</v>
      </c>
      <c r="I71" s="370">
        <f>IFERROR('Расчет фасадов MAX'!AB135,0)</f>
        <v>0</v>
      </c>
      <c r="J71" s="372">
        <f>IFERROR('Расчет фасадов MAX'!AA135,0)</f>
        <v>0</v>
      </c>
      <c r="K71" s="370" t="str">
        <f>IFERROR('Расчет фасадов MAX'!AE135,0)</f>
        <v>Полуфабрикаты производимые в процессе</v>
      </c>
      <c r="L71" s="370"/>
      <c r="M71" s="370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398"/>
      <c r="AA71" s="398"/>
      <c r="AB71" s="398"/>
      <c r="AC71" s="398"/>
      <c r="AD71" s="398"/>
      <c r="AE71" s="398"/>
      <c r="AF71" s="398"/>
      <c r="AG71" s="398"/>
      <c r="AH71" s="398"/>
      <c r="AI71" s="398"/>
      <c r="AJ71" s="398"/>
    </row>
    <row r="72" spans="1:36" ht="21" x14ac:dyDescent="0.4">
      <c r="B72" s="398"/>
      <c r="C72" s="370">
        <v>5</v>
      </c>
      <c r="D72" s="370">
        <f>IFERROR('Расчет фасадов MAX'!Y136,0)</f>
        <v>0</v>
      </c>
      <c r="E72" s="370"/>
      <c r="F72" s="370" t="str">
        <f>IFERROR('Расчет фасадов MAX'!Z136,0)</f>
        <v>.</v>
      </c>
      <c r="G72" s="370">
        <f>IFERROR('Расчет фасадов MAX'!AC136,0)</f>
        <v>0</v>
      </c>
      <c r="H72" s="371">
        <f>IFERROR('Расчет фасадов MAX'!AD136,0)</f>
        <v>0</v>
      </c>
      <c r="I72" s="370" t="str">
        <f>IFERROR('Расчет фасадов MAX'!AB136,0)</f>
        <v>В -6, Ш -6</v>
      </c>
      <c r="J72" s="372">
        <f>IFERROR('Расчет фасадов MAX'!AA136,0)</f>
        <v>0</v>
      </c>
      <c r="K72" s="370" t="str">
        <f>IFERROR('Расчет фасадов MAX'!AE136,0)</f>
        <v>Вставки</v>
      </c>
      <c r="L72" s="370"/>
      <c r="M72" s="370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98"/>
      <c r="AA72" s="398"/>
      <c r="AB72" s="398"/>
      <c r="AC72" s="398"/>
      <c r="AD72" s="398"/>
      <c r="AE72" s="398"/>
      <c r="AF72" s="398"/>
      <c r="AG72" s="398"/>
      <c r="AH72" s="398"/>
      <c r="AI72" s="398"/>
      <c r="AJ72" s="398"/>
    </row>
    <row r="73" spans="1:36" ht="21" x14ac:dyDescent="0.4">
      <c r="B73" s="398"/>
      <c r="C73" s="370">
        <v>6</v>
      </c>
      <c r="D73" s="370" t="str">
        <f>IFERROR('Расчет фасадов MAX'!Y137,0)</f>
        <v>Воздушно-пузырьковая пленка 3-10-115 (1,2*100)</v>
      </c>
      <c r="E73" s="370"/>
      <c r="F73" s="370" t="str">
        <f>IFERROR('Расчет фасадов MAX'!Z137,0)</f>
        <v>3-10-115</v>
      </c>
      <c r="G73" s="370">
        <f>IFERROR('Расчет фасадов MAX'!AC137,0)</f>
        <v>0</v>
      </c>
      <c r="H73" s="371">
        <f>IFERROR('Расчет фасадов MAX'!AD137,0)</f>
        <v>0</v>
      </c>
      <c r="I73" s="370">
        <f>IFERROR('Расчет фасадов MAX'!AB137,0)</f>
        <v>0</v>
      </c>
      <c r="J73" s="372">
        <f>IFERROR('Расчет фасадов MAX'!AA137,0)</f>
        <v>0</v>
      </c>
      <c r="K73" s="370" t="str">
        <f>IFERROR('Расчет фасадов MAX'!AE137,0)</f>
        <v>Полуфабрикаты производимые в процессе</v>
      </c>
      <c r="L73" s="370"/>
      <c r="M73" s="370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98"/>
      <c r="AA73" s="398"/>
      <c r="AB73" s="398"/>
      <c r="AC73" s="398"/>
      <c r="AD73" s="398"/>
      <c r="AE73" s="398"/>
      <c r="AF73" s="398"/>
      <c r="AG73" s="398"/>
      <c r="AH73" s="398"/>
      <c r="AI73" s="398"/>
      <c r="AJ73" s="398"/>
    </row>
    <row r="74" spans="1:36" ht="21" x14ac:dyDescent="0.4">
      <c r="B74" s="398"/>
      <c r="C74" s="370">
        <v>7</v>
      </c>
      <c r="D74" s="370" t="str">
        <f>IFERROR('Расчет фасадов MAX'!Y138,0)</f>
        <v>Новофлекс П 40-50 (L3100)</v>
      </c>
      <c r="E74" s="370"/>
      <c r="F74" s="370" t="str">
        <f>IFERROR('Расчет фасадов MAX'!Z138,0)</f>
        <v>П 40-50</v>
      </c>
      <c r="G74" s="370">
        <f>IFERROR('Расчет фасадов MAX'!AC138,0)</f>
        <v>0</v>
      </c>
      <c r="H74" s="371">
        <f>IFERROR('Расчет фасадов MAX'!AD138,0)</f>
        <v>0</v>
      </c>
      <c r="I74" s="370">
        <f>IFERROR('Расчет фасадов MAX'!AB138,0)</f>
        <v>0</v>
      </c>
      <c r="J74" s="372">
        <f>IFERROR('Расчет фасадов MAX'!AA138,0)</f>
        <v>0</v>
      </c>
      <c r="K74" s="370" t="str">
        <f>IFERROR('Расчет фасадов MAX'!AE138,0)</f>
        <v>Полуфабрикаты производимые в процессе</v>
      </c>
      <c r="L74" s="370"/>
      <c r="M74" s="370"/>
      <c r="N74" s="398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398"/>
      <c r="AH74" s="398"/>
      <c r="AI74" s="398"/>
      <c r="AJ74" s="398"/>
    </row>
    <row r="75" spans="1:36" ht="21" x14ac:dyDescent="0.4">
      <c r="B75" s="398"/>
      <c r="C75" s="370">
        <v>8</v>
      </c>
      <c r="D75" s="370" t="str">
        <f>IFERROR('Расчет фасадов MAX'!Y139,0)</f>
        <v>Стрейч плёнка 500*300 (087.0800.50) первичная</v>
      </c>
      <c r="E75" s="370"/>
      <c r="F75" s="370" t="str">
        <f>IFERROR('Расчет фасадов MAX'!Z139,0)</f>
        <v>087.0800.50</v>
      </c>
      <c r="G75" s="370">
        <f>IFERROR('Расчет фасадов MAX'!AC139,0)</f>
        <v>0</v>
      </c>
      <c r="H75" s="371">
        <f>IFERROR('Расчет фасадов MAX'!AD139,0)</f>
        <v>0</v>
      </c>
      <c r="I75" s="370">
        <f>IFERROR('Расчет фасадов MAX'!AB139,0)</f>
        <v>0</v>
      </c>
      <c r="J75" s="372">
        <f>IFERROR('Расчет фасадов MAX'!AA139,0)</f>
        <v>0</v>
      </c>
      <c r="K75" s="370" t="str">
        <f>IFERROR('Расчет фасадов MAX'!AE139,0)</f>
        <v>Полуфабрикаты производимые в процессе</v>
      </c>
      <c r="L75" s="370"/>
      <c r="M75" s="370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398"/>
      <c r="AA75" s="398"/>
      <c r="AB75" s="398"/>
      <c r="AC75" s="398"/>
      <c r="AD75" s="398"/>
      <c r="AE75" s="398"/>
      <c r="AF75" s="398"/>
      <c r="AG75" s="398"/>
      <c r="AH75" s="398"/>
      <c r="AI75" s="398"/>
      <c r="AJ75" s="398"/>
    </row>
    <row r="76" spans="1:36" ht="21" x14ac:dyDescent="0.4">
      <c r="B76" s="398"/>
      <c r="C76" s="370">
        <v>9</v>
      </c>
      <c r="D76" s="370" t="str">
        <f>IFERROR('Расчет фасадов MAX'!Y140,0)</f>
        <v>Скотч АРИСТО 2021 06.21</v>
      </c>
      <c r="E76" s="370"/>
      <c r="F76" s="370" t="str">
        <f>IFERROR('Расчет фасадов MAX'!Z140,0)</f>
        <v>ARR-0335</v>
      </c>
      <c r="G76" s="370">
        <f>IFERROR('Расчет фасадов MAX'!AC140,0)</f>
        <v>0</v>
      </c>
      <c r="H76" s="371">
        <f>IFERROR('Расчет фасадов MAX'!AD140,0)</f>
        <v>0</v>
      </c>
      <c r="I76" s="370">
        <f>IFERROR('Расчет фасадов MAX'!AB140,0)</f>
        <v>0</v>
      </c>
      <c r="J76" s="372">
        <f>IFERROR('Расчет фасадов MAX'!AA140,0)</f>
        <v>0</v>
      </c>
      <c r="K76" s="370" t="str">
        <f>IFERROR('Расчет фасадов MAX'!AE140,0)</f>
        <v>Полуфабрикаты производимые в процессе</v>
      </c>
      <c r="L76" s="370"/>
      <c r="M76" s="370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</row>
    <row r="77" spans="1:36" ht="21" x14ac:dyDescent="0.4">
      <c r="B77" s="398"/>
      <c r="C77" s="370">
        <v>10</v>
      </c>
      <c r="D77" s="370" t="str">
        <f>IFERROR('Расчет фасадов MAX'!Y141,0)</f>
        <v>Клейкая лента прозрачная 72мм*45мм*50мкм</v>
      </c>
      <c r="E77" s="370"/>
      <c r="F77" s="370" t="str">
        <f>IFERROR('Расчет фасадов MAX'!Z141,0)</f>
        <v>0800.50</v>
      </c>
      <c r="G77" s="370">
        <f>IFERROR('Расчет фасадов MAX'!AC141,0)</f>
        <v>0</v>
      </c>
      <c r="H77" s="371">
        <f>IFERROR('Расчет фасадов MAX'!AD141,0)</f>
        <v>0</v>
      </c>
      <c r="I77" s="370">
        <f>IFERROR('Расчет фасадов MAX'!AB141,0)</f>
        <v>0</v>
      </c>
      <c r="J77" s="372">
        <f>IFERROR('Расчет фасадов MAX'!AA141,0)</f>
        <v>0</v>
      </c>
      <c r="K77" s="370" t="str">
        <f>IFERROR('Расчет фасадов MAX'!AE141,0)</f>
        <v>Полуфабрикаты производимые в процессе</v>
      </c>
      <c r="L77" s="370"/>
      <c r="M77" s="370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98"/>
      <c r="AA77" s="398"/>
      <c r="AB77" s="398"/>
      <c r="AC77" s="398"/>
      <c r="AD77" s="398"/>
      <c r="AE77" s="398"/>
      <c r="AF77" s="398"/>
      <c r="AG77" s="398"/>
      <c r="AH77" s="398"/>
      <c r="AI77" s="398"/>
      <c r="AJ77" s="398"/>
    </row>
    <row r="78" spans="1:36" ht="21" x14ac:dyDescent="0.4">
      <c r="B78" s="398"/>
      <c r="C78" s="370">
        <v>11</v>
      </c>
      <c r="D78" s="370" t="str">
        <f>IFERROR('Расчет фасадов MAX'!Y142,0)</f>
        <v>Клейкая ленка "ОСТОРОЖНО! СТЕКЛО"</v>
      </c>
      <c r="E78" s="370"/>
      <c r="F78" s="370" t="str">
        <f>IFERROR('Расчет фасадов MAX'!Z142,0)</f>
        <v>43скл</v>
      </c>
      <c r="G78" s="370">
        <f>IFERROR('Расчет фасадов MAX'!AC142,0)</f>
        <v>0</v>
      </c>
      <c r="H78" s="371">
        <f>IFERROR('Расчет фасадов MAX'!AD142,0)</f>
        <v>0</v>
      </c>
      <c r="I78" s="370">
        <f>IFERROR('Расчет фасадов MAX'!AB142,0)</f>
        <v>0</v>
      </c>
      <c r="J78" s="372">
        <f>IFERROR('Расчет фасадов MAX'!AA142,0)</f>
        <v>1</v>
      </c>
      <c r="K78" s="370" t="str">
        <f>IFERROR('Расчет фасадов MAX'!AE142,0)</f>
        <v>Полуфабрикаты производимые в процессе</v>
      </c>
      <c r="L78" s="370"/>
      <c r="M78" s="370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98"/>
      <c r="AA78" s="398"/>
      <c r="AB78" s="398"/>
      <c r="AC78" s="398"/>
      <c r="AD78" s="398"/>
      <c r="AE78" s="398"/>
      <c r="AF78" s="398"/>
      <c r="AG78" s="398"/>
      <c r="AH78" s="398"/>
      <c r="AI78" s="398"/>
      <c r="AJ78" s="398"/>
    </row>
    <row r="79" spans="1:36" ht="21" x14ac:dyDescent="0.4">
      <c r="B79" s="398"/>
      <c r="C79" s="370">
        <v>12</v>
      </c>
      <c r="D79" s="370" t="str">
        <f>IFERROR('Расчет фасадов MAX'!Y143,0)</f>
        <v>Пленка-мешок полиэтиленовый 250*700*0,1</v>
      </c>
      <c r="E79" s="370"/>
      <c r="F79" s="370" t="str">
        <f>IFERROR('Расчет фасадов MAX'!Z143,0)</f>
        <v>250*700*0,1</v>
      </c>
      <c r="G79" s="370">
        <f>IFERROR('Расчет фасадов MAX'!AC143,0)</f>
        <v>0</v>
      </c>
      <c r="H79" s="371">
        <f>IFERROR('Расчет фасадов MAX'!AD143,0)</f>
        <v>1</v>
      </c>
      <c r="I79" s="370">
        <f>IFERROR('Расчет фасадов MAX'!AB143,0)</f>
        <v>0</v>
      </c>
      <c r="J79" s="372">
        <f>IFERROR('Расчет фасадов MAX'!AA143,0)</f>
        <v>1</v>
      </c>
      <c r="K79" s="370" t="str">
        <f>IFERROR('Расчет фасадов MAX'!AE143,0)</f>
        <v>Полуфабрикаты производимые в процессе</v>
      </c>
      <c r="L79" s="370"/>
      <c r="M79" s="370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98"/>
      <c r="AA79" s="398"/>
      <c r="AB79" s="398"/>
      <c r="AC79" s="398"/>
      <c r="AD79" s="398"/>
      <c r="AE79" s="398"/>
      <c r="AF79" s="398"/>
      <c r="AG79" s="398"/>
      <c r="AH79" s="398"/>
      <c r="AI79" s="398"/>
      <c r="AJ79" s="398"/>
    </row>
    <row r="80" spans="1:36" ht="21" x14ac:dyDescent="0.4">
      <c r="B80" s="398"/>
      <c r="C80" s="370">
        <v>13</v>
      </c>
      <c r="D80" s="370">
        <f>IFERROR('Расчет фасадов MAX'!Y144,0)</f>
        <v>0</v>
      </c>
      <c r="E80" s="370"/>
      <c r="F80" s="370">
        <f>IFERROR('Расчет фасадов MAX'!Z144,0)</f>
        <v>0</v>
      </c>
      <c r="G80" s="370">
        <f>IFERROR('Расчет фасадов MAX'!AC144,0)</f>
        <v>0</v>
      </c>
      <c r="H80" s="371">
        <f>IFERROR('Расчет фасадов MAX'!AD144,0)</f>
        <v>0</v>
      </c>
      <c r="I80" s="370">
        <f>IFERROR('Расчет фасадов MAX'!AB144,0)</f>
        <v>0</v>
      </c>
      <c r="J80" s="372">
        <f>IFERROR('Расчет фасадов MAX'!AA144,0)</f>
        <v>0</v>
      </c>
      <c r="K80" s="370" t="str">
        <f>IFERROR('Расчет фасадов MAX'!AE144,0)</f>
        <v>Фурнитура</v>
      </c>
      <c r="L80" s="370"/>
      <c r="M80" s="370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98"/>
      <c r="AA80" s="398"/>
      <c r="AB80" s="398"/>
      <c r="AC80" s="398"/>
      <c r="AD80" s="398"/>
      <c r="AE80" s="398"/>
      <c r="AF80" s="398"/>
      <c r="AG80" s="398"/>
      <c r="AH80" s="398"/>
      <c r="AI80" s="398"/>
      <c r="AJ80" s="398"/>
    </row>
    <row r="81" spans="1:36" ht="21" x14ac:dyDescent="0.4">
      <c r="B81" s="398"/>
      <c r="C81" s="370">
        <v>14</v>
      </c>
      <c r="D81" s="370">
        <f>IFERROR('Расчет фасадов MAX'!Y145,0)</f>
        <v>0</v>
      </c>
      <c r="E81" s="370"/>
      <c r="F81" s="370">
        <f>IFERROR('Расчет фасадов MAX'!Z145,0)</f>
        <v>0</v>
      </c>
      <c r="G81" s="370">
        <f>IFERROR('Расчет фасадов MAX'!AC145,0)</f>
        <v>0</v>
      </c>
      <c r="H81" s="371">
        <f>IFERROR('Расчет фасадов MAX'!AD145,0)</f>
        <v>0</v>
      </c>
      <c r="I81" s="370">
        <f>IFERROR('Расчет фасадов MAX'!AB145,0)</f>
        <v>0</v>
      </c>
      <c r="J81" s="372">
        <f>IFERROR('Расчет фасадов MAX'!AA145,0)</f>
        <v>0</v>
      </c>
      <c r="K81" s="370" t="str">
        <f>IFERROR('Расчет фасадов MAX'!AE145,0)</f>
        <v>Полуфабрикаты производимые в процессе</v>
      </c>
      <c r="L81" s="370"/>
      <c r="M81" s="370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98"/>
      <c r="AA81" s="398"/>
      <c r="AB81" s="398"/>
      <c r="AC81" s="398"/>
      <c r="AD81" s="398"/>
      <c r="AE81" s="398"/>
      <c r="AF81" s="398"/>
      <c r="AG81" s="398"/>
      <c r="AH81" s="398"/>
      <c r="AI81" s="398"/>
      <c r="AJ81" s="398"/>
    </row>
    <row r="82" spans="1:36" ht="21.6" thickBot="1" x14ac:dyDescent="0.45">
      <c r="A82" s="245"/>
      <c r="B82" s="400"/>
      <c r="C82" s="373">
        <v>15</v>
      </c>
      <c r="D82" s="373">
        <f>IFERROR('Расчет фасадов MAX'!Y146,0)</f>
        <v>0</v>
      </c>
      <c r="E82" s="373"/>
      <c r="F82" s="373">
        <f>IFERROR('Расчет фасадов MAX'!Z146,0)</f>
        <v>0</v>
      </c>
      <c r="G82" s="373">
        <f>IFERROR('Расчет фасадов MAX'!AC146,0)</f>
        <v>0</v>
      </c>
      <c r="H82" s="374">
        <f>IFERROR('Расчет фасадов MAX'!AD146,0)</f>
        <v>0</v>
      </c>
      <c r="I82" s="373">
        <f>IFERROR('Расчет фасадов MAX'!AB146,0)</f>
        <v>0</v>
      </c>
      <c r="J82" s="375">
        <f>IFERROR('Расчет фасадов MAX'!AA146,0)</f>
        <v>0</v>
      </c>
      <c r="K82" s="373" t="str">
        <f>IFERROR('Расчет фасадов MAX'!AE146,0)</f>
        <v>Фурнитура</v>
      </c>
      <c r="L82" s="373"/>
      <c r="M82" s="373"/>
      <c r="N82" s="400"/>
      <c r="O82" s="400"/>
      <c r="P82" s="400"/>
      <c r="Q82" s="400"/>
      <c r="R82" s="400"/>
      <c r="S82" s="400"/>
      <c r="T82" s="400"/>
      <c r="U82" s="400"/>
      <c r="V82" s="400"/>
      <c r="W82" s="400"/>
      <c r="X82" s="400"/>
      <c r="Y82" s="400"/>
      <c r="Z82" s="400"/>
      <c r="AA82" s="400"/>
      <c r="AB82" s="400"/>
      <c r="AC82" s="400"/>
      <c r="AD82" s="400"/>
      <c r="AE82" s="400"/>
      <c r="AF82" s="400"/>
      <c r="AG82" s="400"/>
      <c r="AH82" s="400"/>
      <c r="AI82" s="400"/>
      <c r="AJ82" s="400"/>
    </row>
    <row r="83" spans="1:36" ht="84" x14ac:dyDescent="0.4">
      <c r="B83" s="388" t="s">
        <v>521</v>
      </c>
      <c r="C83" s="388"/>
      <c r="D83" s="388" t="s">
        <v>2</v>
      </c>
      <c r="E83" s="388" t="s">
        <v>0</v>
      </c>
      <c r="F83" s="388" t="s">
        <v>233</v>
      </c>
      <c r="G83" s="389" t="s">
        <v>558</v>
      </c>
      <c r="H83" s="390" t="s">
        <v>559</v>
      </c>
      <c r="I83" s="391" t="s">
        <v>560</v>
      </c>
      <c r="J83" s="392" t="s">
        <v>149</v>
      </c>
      <c r="K83" s="393" t="s">
        <v>237</v>
      </c>
      <c r="L83" s="394" t="s">
        <v>522</v>
      </c>
      <c r="M83" s="395"/>
      <c r="N83" s="396" t="s">
        <v>14</v>
      </c>
      <c r="O83" s="396" t="s">
        <v>523</v>
      </c>
      <c r="P83" s="396" t="s">
        <v>524</v>
      </c>
      <c r="Q83" s="396" t="s">
        <v>525</v>
      </c>
      <c r="R83" s="396" t="s">
        <v>526</v>
      </c>
      <c r="S83" s="396" t="s">
        <v>527</v>
      </c>
      <c r="T83" s="396" t="s">
        <v>528</v>
      </c>
      <c r="U83" s="396" t="s">
        <v>529</v>
      </c>
      <c r="V83" s="396" t="s">
        <v>530</v>
      </c>
      <c r="W83" s="396" t="s">
        <v>531</v>
      </c>
      <c r="X83" s="396" t="s">
        <v>532</v>
      </c>
      <c r="Y83" s="397" t="s">
        <v>533</v>
      </c>
      <c r="Z83" s="396" t="s">
        <v>534</v>
      </c>
      <c r="AA83" s="396" t="s">
        <v>535</v>
      </c>
      <c r="AB83" s="396" t="s">
        <v>536</v>
      </c>
      <c r="AC83" s="396" t="s">
        <v>537</v>
      </c>
      <c r="AD83" s="396" t="s">
        <v>538</v>
      </c>
      <c r="AE83" s="396" t="s">
        <v>539</v>
      </c>
      <c r="AF83" s="396" t="s">
        <v>540</v>
      </c>
      <c r="AG83" s="396" t="s">
        <v>541</v>
      </c>
      <c r="AH83" s="396" t="s">
        <v>542</v>
      </c>
      <c r="AI83" s="396" t="s">
        <v>543</v>
      </c>
      <c r="AJ83" s="396" t="s">
        <v>379</v>
      </c>
    </row>
    <row r="84" spans="1:36" ht="21" x14ac:dyDescent="0.4">
      <c r="A84" t="str">
        <f>IF('Фасады EDGE MAX'!$X$23&gt;0, "ВФасад", "Пусто")</f>
        <v>Пусто</v>
      </c>
      <c r="B84" s="662" t="s">
        <v>553</v>
      </c>
      <c r="C84" s="367">
        <v>1</v>
      </c>
      <c r="D84" s="367" t="str">
        <f>IFERROR('Расчет фасадов MAX'!Y164,0)</f>
        <v>Фасад, Рамочный узкий профиль</v>
      </c>
      <c r="E84" s="367"/>
      <c r="F84" s="367">
        <f>IFERROR('Расчет фасадов MAX'!Z164,0)</f>
        <v>0</v>
      </c>
      <c r="G84" s="367" t="str">
        <f>IFERROR('Расчет фасадов MAX'!AC164,0)</f>
        <v>0мм-0шт</v>
      </c>
      <c r="H84" s="368">
        <f>IFERROR('Расчет фасадов MAX'!AD164,0)</f>
        <v>0</v>
      </c>
      <c r="I84" s="367">
        <f>IFERROR('Расчет фасадов MAX'!AB164,0)</f>
        <v>0</v>
      </c>
      <c r="J84" s="369">
        <f>IFERROR('Расчет фасадов MAX'!AA164,0)</f>
        <v>0</v>
      </c>
      <c r="K84" s="367" t="str">
        <f>IFERROR('Расчет фасадов MAX'!AE164,0)</f>
        <v>Полуфабрикаты производимые в процессе</v>
      </c>
      <c r="L84" s="367"/>
      <c r="M84" s="367"/>
      <c r="N84" s="398" t="s">
        <v>544</v>
      </c>
      <c r="O84" s="398" t="s">
        <v>545</v>
      </c>
      <c r="P84" s="398" t="str">
        <f>IFERROR('Расчет фасадов MAX'!$B$169,0)</f>
        <v>.</v>
      </c>
      <c r="Q84" s="398"/>
      <c r="R84" s="398"/>
      <c r="S84" s="398"/>
      <c r="T84" s="398"/>
      <c r="U84" s="398"/>
      <c r="V84" s="398" t="s">
        <v>546</v>
      </c>
      <c r="W84" s="398" t="s">
        <v>546</v>
      </c>
      <c r="X84" s="398" t="s">
        <v>547</v>
      </c>
      <c r="Y84" s="398" t="s">
        <v>361</v>
      </c>
      <c r="Z84" s="398"/>
      <c r="AA84" s="398">
        <f>'Фасады EDGE MAX'!$C$23</f>
        <v>0</v>
      </c>
      <c r="AB84" s="398" t="s">
        <v>553</v>
      </c>
      <c r="AC84" s="398">
        <f>'Фасады EDGE MAX'!$G$23</f>
        <v>0</v>
      </c>
      <c r="AD84" s="398">
        <f>'Фасады EDGE MAX'!$I$23</f>
        <v>0</v>
      </c>
      <c r="AE84" s="398"/>
      <c r="AF84" s="398"/>
      <c r="AG84" s="398"/>
      <c r="AH84" s="398"/>
      <c r="AI84" s="398"/>
      <c r="AJ84" s="399">
        <f>'Фасады EDGE MAX'!$W$23</f>
        <v>0</v>
      </c>
    </row>
    <row r="85" spans="1:36" ht="21" x14ac:dyDescent="0.4">
      <c r="B85" s="662"/>
      <c r="C85" s="370">
        <v>2</v>
      </c>
      <c r="D85" s="370" t="str">
        <f>IFERROR('Расчет фасадов MAX'!Y165,0)</f>
        <v>Фасад, Рамочный узкий профиль</v>
      </c>
      <c r="E85" s="370"/>
      <c r="F85" s="370">
        <f>IFERROR('Расчет фасадов MAX'!Z165,0)</f>
        <v>0</v>
      </c>
      <c r="G85" s="370" t="str">
        <f>IFERROR('Расчет фасадов MAX'!AC165,0)</f>
        <v>0мм-0шт</v>
      </c>
      <c r="H85" s="371">
        <f>IFERROR('Расчет фасадов MAX'!AD165,0)</f>
        <v>0</v>
      </c>
      <c r="I85" s="370">
        <f>IFERROR('Расчет фасадов MAX'!AB165,0)</f>
        <v>0</v>
      </c>
      <c r="J85" s="372">
        <f>IFERROR('Расчет фасадов MAX'!AA165,0)</f>
        <v>0</v>
      </c>
      <c r="K85" s="370" t="str">
        <f>IFERROR('Расчет фасадов MAX'!AE165,0)</f>
        <v>Полуфабрикаты производимые в процессе</v>
      </c>
      <c r="L85" s="370"/>
      <c r="M85" s="370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98"/>
      <c r="AA85" s="398"/>
      <c r="AB85" s="398"/>
      <c r="AC85" s="398"/>
      <c r="AD85" s="398"/>
      <c r="AE85" s="398"/>
      <c r="AF85" s="398"/>
      <c r="AG85" s="398"/>
      <c r="AH85" s="398"/>
      <c r="AI85" s="398"/>
      <c r="AJ85" s="398"/>
    </row>
    <row r="86" spans="1:36" ht="21" x14ac:dyDescent="0.4">
      <c r="B86" s="398"/>
      <c r="C86" s="370">
        <v>3</v>
      </c>
      <c r="D86" s="370" t="str">
        <f>IFERROR('Расчет фасадов MAX'!Y166,0)</f>
        <v>Фасад, Рамочный узкий профиль</v>
      </c>
      <c r="E86" s="370"/>
      <c r="F86" s="370">
        <f>IFERROR('Расчет фасадов MAX'!Z166,0)</f>
        <v>0</v>
      </c>
      <c r="G86" s="370" t="str">
        <f>IFERROR('Расчет фасадов MAX'!AC166,0)</f>
        <v>0мм-0шт</v>
      </c>
      <c r="H86" s="371">
        <f>IFERROR('Расчет фасадов MAX'!AD166,0)</f>
        <v>0</v>
      </c>
      <c r="I86" s="370">
        <f>IFERROR('Расчет фасадов MAX'!AB166,0)</f>
        <v>0</v>
      </c>
      <c r="J86" s="372">
        <f>IFERROR('Расчет фасадов MAX'!AA166,0)</f>
        <v>0</v>
      </c>
      <c r="K86" s="370" t="str">
        <f>IFERROR('Расчет фасадов MAX'!AE166,0)</f>
        <v>Полуфабрикаты производимые в процессе</v>
      </c>
      <c r="L86" s="370"/>
      <c r="M86" s="370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398"/>
      <c r="AA86" s="398"/>
      <c r="AB86" s="398"/>
      <c r="AC86" s="398"/>
      <c r="AD86" s="398"/>
      <c r="AE86" s="398"/>
      <c r="AF86" s="398"/>
      <c r="AG86" s="398"/>
      <c r="AH86" s="398"/>
      <c r="AI86" s="398"/>
      <c r="AJ86" s="398"/>
    </row>
    <row r="87" spans="1:36" ht="21" x14ac:dyDescent="0.4">
      <c r="B87" s="398"/>
      <c r="C87" s="370">
        <v>4</v>
      </c>
      <c r="D87" s="370" t="str">
        <f>IFERROR('Расчет фасадов MAX'!Y167,0)</f>
        <v>Фасад, Рамочный узкий профиль</v>
      </c>
      <c r="E87" s="370"/>
      <c r="F87" s="370">
        <f>IFERROR('Расчет фасадов MAX'!Z167,0)</f>
        <v>0</v>
      </c>
      <c r="G87" s="370" t="str">
        <f>IFERROR('Расчет фасадов MAX'!AC167,0)</f>
        <v>0мм-0шт</v>
      </c>
      <c r="H87" s="371">
        <f>IFERROR('Расчет фасадов MAX'!AD167,0)</f>
        <v>0</v>
      </c>
      <c r="I87" s="370">
        <f>IFERROR('Расчет фасадов MAX'!AB167,0)</f>
        <v>0</v>
      </c>
      <c r="J87" s="372">
        <f>IFERROR('Расчет фасадов MAX'!AA167,0)</f>
        <v>0</v>
      </c>
      <c r="K87" s="370" t="str">
        <f>IFERROR('Расчет фасадов MAX'!AE167,0)</f>
        <v>Полуфабрикаты производимые в процессе</v>
      </c>
      <c r="L87" s="370"/>
      <c r="M87" s="370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398"/>
      <c r="AA87" s="398"/>
      <c r="AB87" s="398"/>
      <c r="AC87" s="398"/>
      <c r="AD87" s="398"/>
      <c r="AE87" s="398"/>
      <c r="AF87" s="398"/>
      <c r="AG87" s="398"/>
      <c r="AH87" s="398"/>
      <c r="AI87" s="398"/>
      <c r="AJ87" s="398"/>
    </row>
    <row r="88" spans="1:36" ht="21" x14ac:dyDescent="0.4">
      <c r="B88" s="398"/>
      <c r="C88" s="370">
        <v>5</v>
      </c>
      <c r="D88" s="370">
        <f>IFERROR('Расчет фасадов MAX'!Y168,0)</f>
        <v>0</v>
      </c>
      <c r="E88" s="370"/>
      <c r="F88" s="370" t="str">
        <f>IFERROR('Расчет фасадов MAX'!Z168,0)</f>
        <v>.</v>
      </c>
      <c r="G88" s="370">
        <f>IFERROR('Расчет фасадов MAX'!AC168,0)</f>
        <v>0</v>
      </c>
      <c r="H88" s="371">
        <f>IFERROR('Расчет фасадов MAX'!AD168,0)</f>
        <v>0</v>
      </c>
      <c r="I88" s="370" t="str">
        <f>IFERROR('Расчет фасадов MAX'!AB168,0)</f>
        <v>В -6, Ш -6</v>
      </c>
      <c r="J88" s="372">
        <f>IFERROR('Расчет фасадов MAX'!AA168,0)</f>
        <v>0</v>
      </c>
      <c r="K88" s="370" t="str">
        <f>IFERROR('Расчет фасадов MAX'!AE168,0)</f>
        <v>Вставки</v>
      </c>
      <c r="L88" s="370"/>
      <c r="M88" s="370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98"/>
      <c r="AA88" s="398"/>
      <c r="AB88" s="398"/>
      <c r="AC88" s="398"/>
      <c r="AD88" s="398"/>
      <c r="AE88" s="398"/>
      <c r="AF88" s="398"/>
      <c r="AG88" s="398"/>
      <c r="AH88" s="398"/>
      <c r="AI88" s="398"/>
      <c r="AJ88" s="398"/>
    </row>
    <row r="89" spans="1:36" ht="21" x14ac:dyDescent="0.4">
      <c r="B89" s="398"/>
      <c r="C89" s="370">
        <v>6</v>
      </c>
      <c r="D89" s="370" t="str">
        <f>IFERROR('Расчет фасадов MAX'!Y169,0)</f>
        <v>Воздушно-пузырьковая пленка 3-10-115 (1,2*100)</v>
      </c>
      <c r="E89" s="370"/>
      <c r="F89" s="370" t="str">
        <f>IFERROR('Расчет фасадов MAX'!Z169,0)</f>
        <v>3-10-115</v>
      </c>
      <c r="G89" s="370">
        <f>IFERROR('Расчет фасадов MAX'!AC169,0)</f>
        <v>0</v>
      </c>
      <c r="H89" s="371">
        <f>IFERROR('Расчет фасадов MAX'!AD169,0)</f>
        <v>0</v>
      </c>
      <c r="I89" s="370">
        <f>IFERROR('Расчет фасадов MAX'!AB169,0)</f>
        <v>0</v>
      </c>
      <c r="J89" s="372">
        <f>IFERROR('Расчет фасадов MAX'!AA169,0)</f>
        <v>0</v>
      </c>
      <c r="K89" s="370" t="str">
        <f>IFERROR('Расчет фасадов MAX'!AE169,0)</f>
        <v>Полуфабрикаты производимые в процессе</v>
      </c>
      <c r="L89" s="370"/>
      <c r="M89" s="370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  <c r="AA89" s="398"/>
      <c r="AB89" s="398"/>
      <c r="AC89" s="398"/>
      <c r="AD89" s="398"/>
      <c r="AE89" s="398"/>
      <c r="AF89" s="398"/>
      <c r="AG89" s="398"/>
      <c r="AH89" s="398"/>
      <c r="AI89" s="398"/>
      <c r="AJ89" s="398"/>
    </row>
    <row r="90" spans="1:36" ht="21" x14ac:dyDescent="0.4">
      <c r="B90" s="398"/>
      <c r="C90" s="370">
        <v>7</v>
      </c>
      <c r="D90" s="370" t="str">
        <f>IFERROR('Расчет фасадов MAX'!Y170,0)</f>
        <v>Новофлекс П 40-50 (L3100)</v>
      </c>
      <c r="E90" s="370"/>
      <c r="F90" s="370" t="str">
        <f>IFERROR('Расчет фасадов MAX'!Z170,0)</f>
        <v>П 40-50</v>
      </c>
      <c r="G90" s="370">
        <f>IFERROR('Расчет фасадов MAX'!AC170,0)</f>
        <v>0</v>
      </c>
      <c r="H90" s="371">
        <f>IFERROR('Расчет фасадов MAX'!AD170,0)</f>
        <v>0</v>
      </c>
      <c r="I90" s="370">
        <f>IFERROR('Расчет фасадов MAX'!AB170,0)</f>
        <v>0</v>
      </c>
      <c r="J90" s="372">
        <f>IFERROR('Расчет фасадов MAX'!AA170,0)</f>
        <v>0</v>
      </c>
      <c r="K90" s="370" t="str">
        <f>IFERROR('Расчет фасадов MAX'!AE170,0)</f>
        <v>Полуфабрикаты производимые в процессе</v>
      </c>
      <c r="L90" s="370"/>
      <c r="M90" s="370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  <c r="AA90" s="398"/>
      <c r="AB90" s="398"/>
      <c r="AC90" s="398"/>
      <c r="AD90" s="398"/>
      <c r="AE90" s="398"/>
      <c r="AF90" s="398"/>
      <c r="AG90" s="398"/>
      <c r="AH90" s="398"/>
      <c r="AI90" s="398"/>
      <c r="AJ90" s="398"/>
    </row>
    <row r="91" spans="1:36" ht="21" x14ac:dyDescent="0.4">
      <c r="B91" s="398"/>
      <c r="C91" s="370">
        <v>8</v>
      </c>
      <c r="D91" s="370" t="str">
        <f>IFERROR('Расчет фасадов MAX'!Y171,0)</f>
        <v>Стрейч плёнка 500*300 (087.0800.50) первичная</v>
      </c>
      <c r="E91" s="370"/>
      <c r="F91" s="370" t="str">
        <f>IFERROR('Расчет фасадов MAX'!Z171,0)</f>
        <v>087.0800.50</v>
      </c>
      <c r="G91" s="370">
        <f>IFERROR('Расчет фасадов MAX'!AC171,0)</f>
        <v>0</v>
      </c>
      <c r="H91" s="371">
        <f>IFERROR('Расчет фасадов MAX'!AD171,0)</f>
        <v>0</v>
      </c>
      <c r="I91" s="370">
        <f>IFERROR('Расчет фасадов MAX'!AB171,0)</f>
        <v>0</v>
      </c>
      <c r="J91" s="372">
        <f>IFERROR('Расчет фасадов MAX'!AA171,0)</f>
        <v>0</v>
      </c>
      <c r="K91" s="370" t="str">
        <f>IFERROR('Расчет фасадов MAX'!AE171,0)</f>
        <v>Полуфабрикаты производимые в процессе</v>
      </c>
      <c r="L91" s="370"/>
      <c r="M91" s="370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98"/>
      <c r="AA91" s="398"/>
      <c r="AB91" s="398"/>
      <c r="AC91" s="398"/>
      <c r="AD91" s="398"/>
      <c r="AE91" s="398"/>
      <c r="AF91" s="398"/>
      <c r="AG91" s="398"/>
      <c r="AH91" s="398"/>
      <c r="AI91" s="398"/>
      <c r="AJ91" s="398"/>
    </row>
    <row r="92" spans="1:36" ht="21" x14ac:dyDescent="0.4">
      <c r="B92" s="398"/>
      <c r="C92" s="370">
        <v>9</v>
      </c>
      <c r="D92" s="370" t="str">
        <f>IFERROR('Расчет фасадов MAX'!Y172,0)</f>
        <v>Скотч АРИСТО 2021 06.21</v>
      </c>
      <c r="E92" s="370"/>
      <c r="F92" s="370" t="str">
        <f>IFERROR('Расчет фасадов MAX'!Z172,0)</f>
        <v>ARR-0335</v>
      </c>
      <c r="G92" s="370">
        <f>IFERROR('Расчет фасадов MAX'!AC172,0)</f>
        <v>0</v>
      </c>
      <c r="H92" s="371">
        <f>IFERROR('Расчет фасадов MAX'!AD172,0)</f>
        <v>0</v>
      </c>
      <c r="I92" s="370">
        <f>IFERROR('Расчет фасадов MAX'!AB172,0)</f>
        <v>0</v>
      </c>
      <c r="J92" s="372">
        <f>IFERROR('Расчет фасадов MAX'!AA172,0)</f>
        <v>0</v>
      </c>
      <c r="K92" s="370" t="str">
        <f>IFERROR('Расчет фасадов MAX'!AE172,0)</f>
        <v>Полуфабрикаты производимые в процессе</v>
      </c>
      <c r="L92" s="370"/>
      <c r="M92" s="370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398"/>
      <c r="AA92" s="398"/>
      <c r="AB92" s="398"/>
      <c r="AC92" s="398"/>
      <c r="AD92" s="398"/>
      <c r="AE92" s="398"/>
      <c r="AF92" s="398"/>
      <c r="AG92" s="398"/>
      <c r="AH92" s="398"/>
      <c r="AI92" s="398"/>
      <c r="AJ92" s="398"/>
    </row>
    <row r="93" spans="1:36" ht="21" x14ac:dyDescent="0.4">
      <c r="B93" s="398"/>
      <c r="C93" s="370">
        <v>10</v>
      </c>
      <c r="D93" s="370" t="str">
        <f>IFERROR('Расчет фасадов MAX'!Y173,0)</f>
        <v>Клейкая лента прозрачная 72мм*45мм*50мкм</v>
      </c>
      <c r="E93" s="370"/>
      <c r="F93" s="370" t="str">
        <f>IFERROR('Расчет фасадов MAX'!Z173,0)</f>
        <v>0800.50</v>
      </c>
      <c r="G93" s="370">
        <f>IFERROR('Расчет фасадов MAX'!AC173,0)</f>
        <v>0</v>
      </c>
      <c r="H93" s="371">
        <f>IFERROR('Расчет фасадов MAX'!AD173,0)</f>
        <v>0</v>
      </c>
      <c r="I93" s="370">
        <f>IFERROR('Расчет фасадов MAX'!AB173,0)</f>
        <v>0</v>
      </c>
      <c r="J93" s="372">
        <f>IFERROR('Расчет фасадов MAX'!AA173,0)</f>
        <v>0</v>
      </c>
      <c r="K93" s="370" t="str">
        <f>IFERROR('Расчет фасадов MAX'!AE173,0)</f>
        <v>Полуфабрикаты производимые в процессе</v>
      </c>
      <c r="L93" s="370"/>
      <c r="M93" s="370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98"/>
      <c r="AA93" s="398"/>
      <c r="AB93" s="398"/>
      <c r="AC93" s="398"/>
      <c r="AD93" s="398"/>
      <c r="AE93" s="398"/>
      <c r="AF93" s="398"/>
      <c r="AG93" s="398"/>
      <c r="AH93" s="398"/>
      <c r="AI93" s="398"/>
      <c r="AJ93" s="398"/>
    </row>
    <row r="94" spans="1:36" ht="21" x14ac:dyDescent="0.4">
      <c r="B94" s="398"/>
      <c r="C94" s="370">
        <v>11</v>
      </c>
      <c r="D94" s="370" t="str">
        <f>IFERROR('Расчет фасадов MAX'!Y174,0)</f>
        <v>Клейкая ленка "ОСТОРОЖНО! СТЕКЛО"</v>
      </c>
      <c r="E94" s="370"/>
      <c r="F94" s="370" t="str">
        <f>IFERROR('Расчет фасадов MAX'!Z174,0)</f>
        <v>43скл</v>
      </c>
      <c r="G94" s="370">
        <f>IFERROR('Расчет фасадов MAX'!AC174,0)</f>
        <v>0</v>
      </c>
      <c r="H94" s="371">
        <f>IFERROR('Расчет фасадов MAX'!AD174,0)</f>
        <v>0</v>
      </c>
      <c r="I94" s="370">
        <f>IFERROR('Расчет фасадов MAX'!AB174,0)</f>
        <v>0</v>
      </c>
      <c r="J94" s="372">
        <f>IFERROR('Расчет фасадов MAX'!AA174,0)</f>
        <v>1</v>
      </c>
      <c r="K94" s="370" t="str">
        <f>IFERROR('Расчет фасадов MAX'!AE174,0)</f>
        <v>Полуфабрикаты производимые в процессе</v>
      </c>
      <c r="L94" s="370"/>
      <c r="M94" s="370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  <c r="AA94" s="398"/>
      <c r="AB94" s="398"/>
      <c r="AC94" s="398"/>
      <c r="AD94" s="398"/>
      <c r="AE94" s="398"/>
      <c r="AF94" s="398"/>
      <c r="AG94" s="398"/>
      <c r="AH94" s="398"/>
      <c r="AI94" s="398"/>
      <c r="AJ94" s="398"/>
    </row>
    <row r="95" spans="1:36" ht="21" x14ac:dyDescent="0.4">
      <c r="B95" s="398"/>
      <c r="C95" s="370">
        <v>12</v>
      </c>
      <c r="D95" s="370" t="str">
        <f>IFERROR('Расчет фасадов MAX'!Y175,0)</f>
        <v>Пленка-мешок полиэтиленовый 250*700*0,1</v>
      </c>
      <c r="E95" s="370"/>
      <c r="F95" s="370" t="str">
        <f>IFERROR('Расчет фасадов MAX'!Z175,0)</f>
        <v>250*700*0,1</v>
      </c>
      <c r="G95" s="370">
        <f>IFERROR('Расчет фасадов MAX'!AC175,0)</f>
        <v>0</v>
      </c>
      <c r="H95" s="371">
        <f>IFERROR('Расчет фасадов MAX'!AD175,0)</f>
        <v>1</v>
      </c>
      <c r="I95" s="370">
        <f>IFERROR('Расчет фасадов MAX'!AB175,0)</f>
        <v>0</v>
      </c>
      <c r="J95" s="372">
        <f>IFERROR('Расчет фасадов MAX'!AA175,0)</f>
        <v>1</v>
      </c>
      <c r="K95" s="370" t="str">
        <f>IFERROR('Расчет фасадов MAX'!AE175,0)</f>
        <v>Полуфабрикаты производимые в процессе</v>
      </c>
      <c r="L95" s="370"/>
      <c r="M95" s="370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398"/>
      <c r="AA95" s="398"/>
      <c r="AB95" s="398"/>
      <c r="AC95" s="398"/>
      <c r="AD95" s="398"/>
      <c r="AE95" s="398"/>
      <c r="AF95" s="398"/>
      <c r="AG95" s="398"/>
      <c r="AH95" s="398"/>
      <c r="AI95" s="398"/>
      <c r="AJ95" s="398"/>
    </row>
    <row r="96" spans="1:36" ht="21" x14ac:dyDescent="0.4">
      <c r="B96" s="398"/>
      <c r="C96" s="370">
        <v>13</v>
      </c>
      <c r="D96" s="370">
        <f>IFERROR('Расчет фасадов MAX'!Y176,0)</f>
        <v>0</v>
      </c>
      <c r="E96" s="370"/>
      <c r="F96" s="370">
        <f>IFERROR('Расчет фасадов MAX'!Z176,0)</f>
        <v>0</v>
      </c>
      <c r="G96" s="370">
        <f>IFERROR('Расчет фасадов MAX'!AC176,0)</f>
        <v>0</v>
      </c>
      <c r="H96" s="371">
        <f>IFERROR('Расчет фасадов MAX'!AD176,0)</f>
        <v>0</v>
      </c>
      <c r="I96" s="370">
        <f>IFERROR('Расчет фасадов MAX'!AB176,0)</f>
        <v>0</v>
      </c>
      <c r="J96" s="372">
        <f>IFERROR('Расчет фасадов MAX'!AA176,0)</f>
        <v>0</v>
      </c>
      <c r="K96" s="370" t="str">
        <f>IFERROR('Расчет фасадов MAX'!AE176,0)</f>
        <v>Фурнитура</v>
      </c>
      <c r="L96" s="370"/>
      <c r="M96" s="370"/>
      <c r="N96" s="398"/>
      <c r="O96" s="398"/>
      <c r="P96" s="398"/>
      <c r="Q96" s="398"/>
      <c r="R96" s="398"/>
      <c r="S96" s="398"/>
      <c r="T96" s="398"/>
      <c r="U96" s="398"/>
      <c r="V96" s="398"/>
      <c r="W96" s="398"/>
      <c r="X96" s="398"/>
      <c r="Y96" s="398"/>
      <c r="Z96" s="398"/>
      <c r="AA96" s="398"/>
      <c r="AB96" s="398"/>
      <c r="AC96" s="398"/>
      <c r="AD96" s="398"/>
      <c r="AE96" s="398"/>
      <c r="AF96" s="398"/>
      <c r="AG96" s="398"/>
      <c r="AH96" s="398"/>
      <c r="AI96" s="398"/>
      <c r="AJ96" s="398"/>
    </row>
    <row r="97" spans="1:36" ht="21" x14ac:dyDescent="0.4">
      <c r="B97" s="398"/>
      <c r="C97" s="370">
        <v>14</v>
      </c>
      <c r="D97" s="370">
        <f>IFERROR('Расчет фасадов MAX'!Y177,0)</f>
        <v>0</v>
      </c>
      <c r="E97" s="370"/>
      <c r="F97" s="370">
        <f>IFERROR('Расчет фасадов MAX'!Z177,0)</f>
        <v>0</v>
      </c>
      <c r="G97" s="370">
        <f>IFERROR('Расчет фасадов MAX'!AC177,0)</f>
        <v>0</v>
      </c>
      <c r="H97" s="371">
        <f>IFERROR('Расчет фасадов MAX'!AD177,0)</f>
        <v>0</v>
      </c>
      <c r="I97" s="370">
        <f>IFERROR('Расчет фасадов MAX'!AB177,0)</f>
        <v>0</v>
      </c>
      <c r="J97" s="372">
        <f>IFERROR('Расчет фасадов MAX'!AA177,0)</f>
        <v>0</v>
      </c>
      <c r="K97" s="370" t="str">
        <f>IFERROR('Расчет фасадов MAX'!AE177,0)</f>
        <v>Полуфабрикаты производимые в процессе</v>
      </c>
      <c r="L97" s="370"/>
      <c r="M97" s="370"/>
      <c r="N97" s="398"/>
      <c r="O97" s="398"/>
      <c r="P97" s="398"/>
      <c r="Q97" s="398"/>
      <c r="R97" s="398"/>
      <c r="S97" s="398"/>
      <c r="T97" s="398"/>
      <c r="U97" s="398"/>
      <c r="V97" s="398"/>
      <c r="W97" s="398"/>
      <c r="X97" s="398"/>
      <c r="Y97" s="398"/>
      <c r="Z97" s="398"/>
      <c r="AA97" s="398"/>
      <c r="AB97" s="398"/>
      <c r="AC97" s="398"/>
      <c r="AD97" s="398"/>
      <c r="AE97" s="398"/>
      <c r="AF97" s="398"/>
      <c r="AG97" s="398"/>
      <c r="AH97" s="398"/>
      <c r="AI97" s="398"/>
      <c r="AJ97" s="398"/>
    </row>
    <row r="98" spans="1:36" ht="21.6" thickBot="1" x14ac:dyDescent="0.45">
      <c r="A98" s="245"/>
      <c r="B98" s="400"/>
      <c r="C98" s="373">
        <v>15</v>
      </c>
      <c r="D98" s="373">
        <f>IFERROR('Расчет фасадов MAX'!Y178,0)</f>
        <v>0</v>
      </c>
      <c r="E98" s="373"/>
      <c r="F98" s="373">
        <f>IFERROR('Расчет фасадов MAX'!Z178,0)</f>
        <v>0</v>
      </c>
      <c r="G98" s="373">
        <f>IFERROR('Расчет фасадов MAX'!AC178,0)</f>
        <v>0</v>
      </c>
      <c r="H98" s="374">
        <f>IFERROR('Расчет фасадов MAX'!AD178,0)</f>
        <v>0</v>
      </c>
      <c r="I98" s="373">
        <f>IFERROR('Расчет фасадов MAX'!AB178,0)</f>
        <v>0</v>
      </c>
      <c r="J98" s="375">
        <f>IFERROR('Расчет фасадов MAX'!AA178,0)</f>
        <v>0</v>
      </c>
      <c r="K98" s="373" t="str">
        <f>IFERROR('Расчет фасадов MAX'!AE178,0)</f>
        <v>Фурнитура</v>
      </c>
      <c r="L98" s="373"/>
      <c r="M98" s="373"/>
      <c r="N98" s="400"/>
      <c r="O98" s="400"/>
      <c r="P98" s="400"/>
      <c r="Q98" s="400"/>
      <c r="R98" s="400"/>
      <c r="S98" s="400"/>
      <c r="T98" s="400"/>
      <c r="U98" s="400"/>
      <c r="V98" s="400"/>
      <c r="W98" s="400"/>
      <c r="X98" s="400"/>
      <c r="Y98" s="400"/>
      <c r="Z98" s="400"/>
      <c r="AA98" s="400"/>
      <c r="AB98" s="400"/>
      <c r="AC98" s="400"/>
      <c r="AD98" s="400"/>
      <c r="AE98" s="400"/>
      <c r="AF98" s="400"/>
      <c r="AG98" s="400"/>
      <c r="AH98" s="400"/>
      <c r="AI98" s="400"/>
      <c r="AJ98" s="400"/>
    </row>
    <row r="99" spans="1:36" ht="84" x14ac:dyDescent="0.4">
      <c r="B99" s="388" t="s">
        <v>521</v>
      </c>
      <c r="C99" s="388"/>
      <c r="D99" s="388" t="s">
        <v>2</v>
      </c>
      <c r="E99" s="388" t="s">
        <v>0</v>
      </c>
      <c r="F99" s="388" t="s">
        <v>233</v>
      </c>
      <c r="G99" s="389" t="s">
        <v>558</v>
      </c>
      <c r="H99" s="390" t="s">
        <v>559</v>
      </c>
      <c r="I99" s="391" t="s">
        <v>560</v>
      </c>
      <c r="J99" s="392" t="s">
        <v>149</v>
      </c>
      <c r="K99" s="393" t="s">
        <v>237</v>
      </c>
      <c r="L99" s="394" t="s">
        <v>522</v>
      </c>
      <c r="M99" s="395"/>
      <c r="N99" s="396" t="s">
        <v>14</v>
      </c>
      <c r="O99" s="396" t="s">
        <v>523</v>
      </c>
      <c r="P99" s="396" t="s">
        <v>524</v>
      </c>
      <c r="Q99" s="396" t="s">
        <v>525</v>
      </c>
      <c r="R99" s="396" t="s">
        <v>526</v>
      </c>
      <c r="S99" s="396" t="s">
        <v>527</v>
      </c>
      <c r="T99" s="396" t="s">
        <v>528</v>
      </c>
      <c r="U99" s="396" t="s">
        <v>529</v>
      </c>
      <c r="V99" s="396" t="s">
        <v>530</v>
      </c>
      <c r="W99" s="396" t="s">
        <v>531</v>
      </c>
      <c r="X99" s="396" t="s">
        <v>532</v>
      </c>
      <c r="Y99" s="397" t="s">
        <v>533</v>
      </c>
      <c r="Z99" s="396" t="s">
        <v>534</v>
      </c>
      <c r="AA99" s="396" t="s">
        <v>535</v>
      </c>
      <c r="AB99" s="396" t="s">
        <v>536</v>
      </c>
      <c r="AC99" s="396" t="s">
        <v>537</v>
      </c>
      <c r="AD99" s="396" t="s">
        <v>538</v>
      </c>
      <c r="AE99" s="396" t="s">
        <v>539</v>
      </c>
      <c r="AF99" s="396" t="s">
        <v>540</v>
      </c>
      <c r="AG99" s="396" t="s">
        <v>541</v>
      </c>
      <c r="AH99" s="396" t="s">
        <v>542</v>
      </c>
      <c r="AI99" s="396" t="s">
        <v>543</v>
      </c>
      <c r="AJ99" s="396" t="s">
        <v>379</v>
      </c>
    </row>
    <row r="100" spans="1:36" ht="21" x14ac:dyDescent="0.4">
      <c r="A100" t="str">
        <f>IF('Фасады EDGE MAX'!$X$26&gt;0, "ВФасад", "Пусто")</f>
        <v>Пусто</v>
      </c>
      <c r="B100" s="662" t="s">
        <v>554</v>
      </c>
      <c r="C100" s="367">
        <v>1</v>
      </c>
      <c r="D100" s="367" t="str">
        <f>IFERROR('Расчет фасадов MAX'!Y196,0)</f>
        <v>Фасад, Рамочный узкий профиль</v>
      </c>
      <c r="E100" s="367"/>
      <c r="F100" s="367">
        <f>IFERROR('Расчет фасадов MAX'!Z196,0)</f>
        <v>0</v>
      </c>
      <c r="G100" s="367" t="str">
        <f>IFERROR('Расчет фасадов MAX'!AC196,0)</f>
        <v>0мм-0шт</v>
      </c>
      <c r="H100" s="368">
        <f>IFERROR('Расчет фасадов MAX'!AD196,0)</f>
        <v>0</v>
      </c>
      <c r="I100" s="367">
        <f>IFERROR('Расчет фасадов MAX'!AB196,0)</f>
        <v>0</v>
      </c>
      <c r="J100" s="369">
        <f>IFERROR('Расчет фасадов MAX'!AA196,0)</f>
        <v>0</v>
      </c>
      <c r="K100" s="367" t="str">
        <f>IFERROR('Расчет фасадов MAX'!AE196,0)</f>
        <v>Полуфабрикаты производимые в процессе</v>
      </c>
      <c r="L100" s="367"/>
      <c r="M100" s="367"/>
      <c r="N100" s="398" t="s">
        <v>544</v>
      </c>
      <c r="O100" s="398" t="s">
        <v>545</v>
      </c>
      <c r="P100" s="399" t="str">
        <f>IFERROR('Расчет фасадов MAX'!$B$201,0)</f>
        <v>.</v>
      </c>
      <c r="Q100" s="398"/>
      <c r="R100" s="398"/>
      <c r="S100" s="398"/>
      <c r="T100" s="398"/>
      <c r="U100" s="398"/>
      <c r="V100" s="398" t="s">
        <v>546</v>
      </c>
      <c r="W100" s="398" t="s">
        <v>546</v>
      </c>
      <c r="X100" s="398" t="s">
        <v>547</v>
      </c>
      <c r="Y100" s="398" t="s">
        <v>361</v>
      </c>
      <c r="Z100" s="398"/>
      <c r="AA100" s="398">
        <f>'Фасады EDGE MAX'!$C$26</f>
        <v>0</v>
      </c>
      <c r="AB100" s="398" t="s">
        <v>554</v>
      </c>
      <c r="AC100" s="398">
        <f>'Фасады EDGE MAX'!$G$26</f>
        <v>0</v>
      </c>
      <c r="AD100" s="398">
        <f>'Фасады EDGE MAX'!$I$26</f>
        <v>0</v>
      </c>
      <c r="AE100" s="398"/>
      <c r="AF100" s="398"/>
      <c r="AG100" s="398"/>
      <c r="AH100" s="398"/>
      <c r="AI100" s="398"/>
      <c r="AJ100" s="399">
        <f>'Фасады EDGE MAX'!$W$26</f>
        <v>0</v>
      </c>
    </row>
    <row r="101" spans="1:36" ht="21" x14ac:dyDescent="0.4">
      <c r="B101" s="662"/>
      <c r="C101" s="370">
        <v>2</v>
      </c>
      <c r="D101" s="370" t="str">
        <f>IFERROR('Расчет фасадов MAX'!Y197,0)</f>
        <v>Фасад, Рамочный узкий профиль</v>
      </c>
      <c r="E101" s="370"/>
      <c r="F101" s="370">
        <f>IFERROR('Расчет фасадов MAX'!Z197,0)</f>
        <v>0</v>
      </c>
      <c r="G101" s="370" t="str">
        <f>IFERROR('Расчет фасадов MAX'!AC197,0)</f>
        <v>0мм-0шт</v>
      </c>
      <c r="H101" s="370">
        <f>IFERROR('Расчет фасадов MAX'!AD197,0)</f>
        <v>0</v>
      </c>
      <c r="I101" s="370">
        <f>IFERROR('Расчет фасадов MAX'!AB197,0)</f>
        <v>0</v>
      </c>
      <c r="J101" s="370">
        <f>IFERROR('Расчет фасадов MAX'!AA197,0)</f>
        <v>0</v>
      </c>
      <c r="K101" s="370" t="str">
        <f>IFERROR('Расчет фасадов MAX'!AE197,0)</f>
        <v>Полуфабрикаты производимые в процессе</v>
      </c>
      <c r="L101" s="370"/>
      <c r="M101" s="370"/>
      <c r="N101" s="398"/>
      <c r="O101" s="398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398"/>
      <c r="AA101" s="398"/>
      <c r="AB101" s="398"/>
      <c r="AC101" s="398"/>
      <c r="AD101" s="398"/>
      <c r="AE101" s="398"/>
      <c r="AF101" s="398"/>
      <c r="AG101" s="398"/>
      <c r="AH101" s="398"/>
      <c r="AI101" s="398"/>
      <c r="AJ101" s="398"/>
    </row>
    <row r="102" spans="1:36" ht="21" x14ac:dyDescent="0.4">
      <c r="B102" s="398"/>
      <c r="C102" s="370">
        <v>3</v>
      </c>
      <c r="D102" s="370" t="str">
        <f>IFERROR('Расчет фасадов MAX'!Y198,0)</f>
        <v>Фасад, Рамочный узкий профиль</v>
      </c>
      <c r="E102" s="370"/>
      <c r="F102" s="370">
        <f>IFERROR('Расчет фасадов MAX'!Z198,0)</f>
        <v>0</v>
      </c>
      <c r="G102" s="370" t="str">
        <f>IFERROR('Расчет фасадов MAX'!AC198,0)</f>
        <v>0мм-0шт</v>
      </c>
      <c r="H102" s="370">
        <f>IFERROR('Расчет фасадов MAX'!AD198,0)</f>
        <v>0</v>
      </c>
      <c r="I102" s="370">
        <f>IFERROR('Расчет фасадов MAX'!AB198,0)</f>
        <v>0</v>
      </c>
      <c r="J102" s="370">
        <f>IFERROR('Расчет фасадов MAX'!AA198,0)</f>
        <v>0</v>
      </c>
      <c r="K102" s="370" t="str">
        <f>IFERROR('Расчет фасадов MAX'!AE198,0)</f>
        <v>Полуфабрикаты производимые в процессе</v>
      </c>
      <c r="L102" s="370"/>
      <c r="M102" s="370"/>
      <c r="N102" s="398"/>
      <c r="O102" s="398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398"/>
      <c r="AA102" s="398"/>
      <c r="AB102" s="398"/>
      <c r="AC102" s="398"/>
      <c r="AD102" s="398"/>
      <c r="AE102" s="398"/>
      <c r="AF102" s="398"/>
      <c r="AG102" s="398"/>
      <c r="AH102" s="398"/>
      <c r="AI102" s="398"/>
      <c r="AJ102" s="398"/>
    </row>
    <row r="103" spans="1:36" ht="21" x14ac:dyDescent="0.4">
      <c r="B103" s="398"/>
      <c r="C103" s="370">
        <v>4</v>
      </c>
      <c r="D103" s="370" t="str">
        <f>IFERROR('Расчет фасадов MAX'!Y199,0)</f>
        <v>Фасад, Рамочный узкий профиль</v>
      </c>
      <c r="E103" s="370"/>
      <c r="F103" s="370">
        <f>IFERROR('Расчет фасадов MAX'!Z199,0)</f>
        <v>0</v>
      </c>
      <c r="G103" s="370" t="str">
        <f>IFERROR('Расчет фасадов MAX'!AC199,0)</f>
        <v>0мм-0шт</v>
      </c>
      <c r="H103" s="370">
        <f>IFERROR('Расчет фасадов MAX'!AD199,0)</f>
        <v>0</v>
      </c>
      <c r="I103" s="370">
        <f>IFERROR('Расчет фасадов MAX'!AB199,0)</f>
        <v>0</v>
      </c>
      <c r="J103" s="370">
        <f>IFERROR('Расчет фасадов MAX'!AA199,0)</f>
        <v>0</v>
      </c>
      <c r="K103" s="370" t="str">
        <f>IFERROR('Расчет фасадов MAX'!AE199,0)</f>
        <v>Полуфабрикаты производимые в процессе</v>
      </c>
      <c r="L103" s="370"/>
      <c r="M103" s="370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</row>
    <row r="104" spans="1:36" ht="21" x14ac:dyDescent="0.4">
      <c r="B104" s="398"/>
      <c r="C104" s="370">
        <v>5</v>
      </c>
      <c r="D104" s="370">
        <f>IFERROR('Расчет фасадов MAX'!Y200,0)</f>
        <v>0</v>
      </c>
      <c r="E104" s="370"/>
      <c r="F104" s="370" t="str">
        <f>IFERROR('Расчет фасадов MAX'!Z200,0)</f>
        <v>.</v>
      </c>
      <c r="G104" s="370">
        <f>IFERROR('Расчет фасадов MAX'!AC200,0)</f>
        <v>0</v>
      </c>
      <c r="H104" s="370">
        <f>IFERROR('Расчет фасадов MAX'!AD200,0)</f>
        <v>0</v>
      </c>
      <c r="I104" s="370" t="str">
        <f>IFERROR('Расчет фасадов MAX'!AB200,0)</f>
        <v>В -6, Ш -6</v>
      </c>
      <c r="J104" s="370">
        <f>IFERROR('Расчет фасадов MAX'!AA200,0)</f>
        <v>0</v>
      </c>
      <c r="K104" s="370" t="str">
        <f>IFERROR('Расчет фасадов MAX'!AE200,0)</f>
        <v>Вставки</v>
      </c>
      <c r="L104" s="370"/>
      <c r="M104" s="370"/>
      <c r="N104" s="398"/>
      <c r="O104" s="398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398"/>
      <c r="AA104" s="398"/>
      <c r="AB104" s="398"/>
      <c r="AC104" s="398"/>
      <c r="AD104" s="398"/>
      <c r="AE104" s="398"/>
      <c r="AF104" s="398"/>
      <c r="AG104" s="398"/>
      <c r="AH104" s="398"/>
      <c r="AI104" s="398"/>
      <c r="AJ104" s="398"/>
    </row>
    <row r="105" spans="1:36" ht="21" x14ac:dyDescent="0.4">
      <c r="B105" s="398"/>
      <c r="C105" s="370">
        <v>6</v>
      </c>
      <c r="D105" s="370" t="str">
        <f>IFERROR('Расчет фасадов MAX'!Y201,0)</f>
        <v>Воздушно-пузырьковая пленка 3-10-115 (1,2*100)</v>
      </c>
      <c r="E105" s="370"/>
      <c r="F105" s="370" t="str">
        <f>IFERROR('Расчет фасадов MAX'!Z201,0)</f>
        <v>3-10-115</v>
      </c>
      <c r="G105" s="370">
        <f>IFERROR('Расчет фасадов MAX'!AC201,0)</f>
        <v>0</v>
      </c>
      <c r="H105" s="370">
        <f>IFERROR('Расчет фасадов MAX'!AD201,0)</f>
        <v>0</v>
      </c>
      <c r="I105" s="370">
        <f>IFERROR('Расчет фасадов MAX'!AB201,0)</f>
        <v>0</v>
      </c>
      <c r="J105" s="370">
        <f>IFERROR('Расчет фасадов MAX'!AA201,0)</f>
        <v>0</v>
      </c>
      <c r="K105" s="370" t="str">
        <f>IFERROR('Расчет фасадов MAX'!AE201,0)</f>
        <v>Полуфабрикаты производимые в процессе</v>
      </c>
      <c r="L105" s="370"/>
      <c r="M105" s="370"/>
      <c r="N105" s="398"/>
      <c r="O105" s="398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398"/>
      <c r="AA105" s="398"/>
      <c r="AB105" s="398"/>
      <c r="AC105" s="398"/>
      <c r="AD105" s="398"/>
      <c r="AE105" s="398"/>
      <c r="AF105" s="398"/>
      <c r="AG105" s="398"/>
      <c r="AH105" s="398"/>
      <c r="AI105" s="398"/>
      <c r="AJ105" s="398"/>
    </row>
    <row r="106" spans="1:36" ht="21" x14ac:dyDescent="0.4">
      <c r="B106" s="398"/>
      <c r="C106" s="370">
        <v>7</v>
      </c>
      <c r="D106" s="370" t="str">
        <f>IFERROR('Расчет фасадов MAX'!Y202,0)</f>
        <v>Новофлекс П 40-50 (L3100)</v>
      </c>
      <c r="E106" s="370"/>
      <c r="F106" s="370" t="str">
        <f>IFERROR('Расчет фасадов MAX'!Z202,0)</f>
        <v>П 40-50</v>
      </c>
      <c r="G106" s="370">
        <f>IFERROR('Расчет фасадов MAX'!AC202,0)</f>
        <v>0</v>
      </c>
      <c r="H106" s="370">
        <f>IFERROR('Расчет фасадов MAX'!AD202,0)</f>
        <v>0</v>
      </c>
      <c r="I106" s="370">
        <f>IFERROR('Расчет фасадов MAX'!AB202,0)</f>
        <v>0</v>
      </c>
      <c r="J106" s="370">
        <f>IFERROR('Расчет фасадов MAX'!AA202,0)</f>
        <v>0</v>
      </c>
      <c r="K106" s="370" t="str">
        <f>IFERROR('Расчет фасадов MAX'!AE202,0)</f>
        <v>Полуфабрикаты производимые в процессе</v>
      </c>
      <c r="L106" s="370"/>
      <c r="M106" s="370"/>
      <c r="N106" s="398"/>
      <c r="O106" s="398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398"/>
      <c r="AA106" s="398"/>
      <c r="AB106" s="398"/>
      <c r="AC106" s="398"/>
      <c r="AD106" s="398"/>
      <c r="AE106" s="398"/>
      <c r="AF106" s="398"/>
      <c r="AG106" s="398"/>
      <c r="AH106" s="398"/>
      <c r="AI106" s="398"/>
      <c r="AJ106" s="398"/>
    </row>
    <row r="107" spans="1:36" ht="21" x14ac:dyDescent="0.4">
      <c r="B107" s="398"/>
      <c r="C107" s="370">
        <v>8</v>
      </c>
      <c r="D107" s="370" t="str">
        <f>IFERROR('Расчет фасадов MAX'!Y203,0)</f>
        <v>Стрейч плёнка 500*300 (087.0800.50) первичная</v>
      </c>
      <c r="E107" s="370"/>
      <c r="F107" s="370" t="str">
        <f>IFERROR('Расчет фасадов MAX'!Z203,0)</f>
        <v>087.0800.50</v>
      </c>
      <c r="G107" s="370">
        <f>IFERROR('Расчет фасадов MAX'!AC203,0)</f>
        <v>0</v>
      </c>
      <c r="H107" s="370">
        <f>IFERROR('Расчет фасадов MAX'!AD203,0)</f>
        <v>0</v>
      </c>
      <c r="I107" s="370">
        <f>IFERROR('Расчет фасадов MAX'!AB203,0)</f>
        <v>0</v>
      </c>
      <c r="J107" s="370">
        <f>IFERROR('Расчет фасадов MAX'!AA203,0)</f>
        <v>0</v>
      </c>
      <c r="K107" s="370" t="str">
        <f>IFERROR('Расчет фасадов MAX'!AE203,0)</f>
        <v>Полуфабрикаты производимые в процессе</v>
      </c>
      <c r="L107" s="370"/>
      <c r="M107" s="370"/>
      <c r="N107" s="398"/>
      <c r="O107" s="398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398"/>
      <c r="AA107" s="398"/>
      <c r="AB107" s="398"/>
      <c r="AC107" s="398"/>
      <c r="AD107" s="398"/>
      <c r="AE107" s="398"/>
      <c r="AF107" s="398"/>
      <c r="AG107" s="398"/>
      <c r="AH107" s="398"/>
      <c r="AI107" s="398"/>
      <c r="AJ107" s="398"/>
    </row>
    <row r="108" spans="1:36" ht="21" x14ac:dyDescent="0.4">
      <c r="B108" s="398"/>
      <c r="C108" s="370">
        <v>9</v>
      </c>
      <c r="D108" s="370" t="str">
        <f>IFERROR('Расчет фасадов MAX'!Y204,0)</f>
        <v>Скотч АРИСТО 2021 06.21</v>
      </c>
      <c r="E108" s="370"/>
      <c r="F108" s="370" t="str">
        <f>IFERROR('Расчет фасадов MAX'!Z204,0)</f>
        <v>ARR-0335</v>
      </c>
      <c r="G108" s="370">
        <f>IFERROR('Расчет фасадов MAX'!AC204,0)</f>
        <v>0</v>
      </c>
      <c r="H108" s="370">
        <f>IFERROR('Расчет фасадов MAX'!AD204,0)</f>
        <v>0</v>
      </c>
      <c r="I108" s="370">
        <f>IFERROR('Расчет фасадов MAX'!AB204,0)</f>
        <v>0</v>
      </c>
      <c r="J108" s="370">
        <f>IFERROR('Расчет фасадов MAX'!AA204,0)</f>
        <v>0</v>
      </c>
      <c r="K108" s="370" t="str">
        <f>IFERROR('Расчет фасадов MAX'!AE204,0)</f>
        <v>Полуфабрикаты производимые в процессе</v>
      </c>
      <c r="L108" s="370"/>
      <c r="M108" s="370"/>
      <c r="N108" s="398"/>
      <c r="O108" s="398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398"/>
      <c r="AA108" s="398"/>
      <c r="AB108" s="398"/>
      <c r="AC108" s="398"/>
      <c r="AD108" s="398"/>
      <c r="AE108" s="398"/>
      <c r="AF108" s="398"/>
      <c r="AG108" s="398"/>
      <c r="AH108" s="398"/>
      <c r="AI108" s="398"/>
      <c r="AJ108" s="398"/>
    </row>
    <row r="109" spans="1:36" ht="21" x14ac:dyDescent="0.4">
      <c r="B109" s="398"/>
      <c r="C109" s="370">
        <v>10</v>
      </c>
      <c r="D109" s="370" t="str">
        <f>IFERROR('Расчет фасадов MAX'!Y205,0)</f>
        <v>Клейкая лента прозрачная 72мм*45мм*50мкм</v>
      </c>
      <c r="E109" s="370"/>
      <c r="F109" s="370" t="str">
        <f>IFERROR('Расчет фасадов MAX'!Z205,0)</f>
        <v>0800.50</v>
      </c>
      <c r="G109" s="370">
        <f>IFERROR('Расчет фасадов MAX'!AC205,0)</f>
        <v>0</v>
      </c>
      <c r="H109" s="370">
        <f>IFERROR('Расчет фасадов MAX'!AD205,0)</f>
        <v>0</v>
      </c>
      <c r="I109" s="370">
        <f>IFERROR('Расчет фасадов MAX'!AB205,0)</f>
        <v>0</v>
      </c>
      <c r="J109" s="370">
        <f>IFERROR('Расчет фасадов MAX'!AA205,0)</f>
        <v>0</v>
      </c>
      <c r="K109" s="370" t="str">
        <f>IFERROR('Расчет фасадов MAX'!AE205,0)</f>
        <v>Полуфабрикаты производимые в процессе</v>
      </c>
      <c r="L109" s="370"/>
      <c r="M109" s="370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398"/>
      <c r="AA109" s="398"/>
      <c r="AB109" s="398"/>
      <c r="AC109" s="398"/>
      <c r="AD109" s="398"/>
      <c r="AE109" s="398"/>
      <c r="AF109" s="398"/>
      <c r="AG109" s="398"/>
      <c r="AH109" s="398"/>
      <c r="AI109" s="398"/>
      <c r="AJ109" s="398"/>
    </row>
    <row r="110" spans="1:36" ht="21" x14ac:dyDescent="0.4">
      <c r="B110" s="398"/>
      <c r="C110" s="370">
        <v>11</v>
      </c>
      <c r="D110" s="370" t="str">
        <f>IFERROR('Расчет фасадов MAX'!Y206,0)</f>
        <v>Клейкая ленка "ОСТОРОЖНО! СТЕКЛО"</v>
      </c>
      <c r="E110" s="370"/>
      <c r="F110" s="370" t="str">
        <f>IFERROR('Расчет фасадов MAX'!Z206,0)</f>
        <v>43скл</v>
      </c>
      <c r="G110" s="370">
        <f>IFERROR('Расчет фасадов MAX'!AC206,0)</f>
        <v>0</v>
      </c>
      <c r="H110" s="370">
        <f>IFERROR('Расчет фасадов MAX'!AD206,0)</f>
        <v>0</v>
      </c>
      <c r="I110" s="370">
        <f>IFERROR('Расчет фасадов MAX'!AB206,0)</f>
        <v>0</v>
      </c>
      <c r="J110" s="370">
        <f>IFERROR('Расчет фасадов MAX'!AA206,0)</f>
        <v>1</v>
      </c>
      <c r="K110" s="370" t="str">
        <f>IFERROR('Расчет фасадов MAX'!AE206,0)</f>
        <v>Полуфабрикаты производимые в процессе</v>
      </c>
      <c r="L110" s="370"/>
      <c r="M110" s="370"/>
      <c r="N110" s="398"/>
      <c r="O110" s="398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398"/>
      <c r="AA110" s="398"/>
      <c r="AB110" s="398"/>
      <c r="AC110" s="398"/>
      <c r="AD110" s="398"/>
      <c r="AE110" s="398"/>
      <c r="AF110" s="398"/>
      <c r="AG110" s="398"/>
      <c r="AH110" s="398"/>
      <c r="AI110" s="398"/>
      <c r="AJ110" s="398"/>
    </row>
    <row r="111" spans="1:36" ht="21" x14ac:dyDescent="0.4">
      <c r="B111" s="398"/>
      <c r="C111" s="370">
        <v>12</v>
      </c>
      <c r="D111" s="370" t="str">
        <f>IFERROR('Расчет фасадов MAX'!Y207,0)</f>
        <v>Пленка-мешок полиэтиленовый 250*700*0,1</v>
      </c>
      <c r="E111" s="370"/>
      <c r="F111" s="370" t="str">
        <f>IFERROR('Расчет фасадов MAX'!Z207,0)</f>
        <v>250*700*0,1</v>
      </c>
      <c r="G111" s="370">
        <f>IFERROR('Расчет фасадов MAX'!AC207,0)</f>
        <v>0</v>
      </c>
      <c r="H111" s="370">
        <f>IFERROR('Расчет фасадов MAX'!AD207,0)</f>
        <v>1</v>
      </c>
      <c r="I111" s="370">
        <f>IFERROR('Расчет фасадов MAX'!AB207,0)</f>
        <v>0</v>
      </c>
      <c r="J111" s="370">
        <f>IFERROR('Расчет фасадов MAX'!AA207,0)</f>
        <v>1</v>
      </c>
      <c r="K111" s="370" t="str">
        <f>IFERROR('Расчет фасадов MAX'!AE207,0)</f>
        <v>Полуфабрикаты производимые в процессе</v>
      </c>
      <c r="L111" s="370"/>
      <c r="M111" s="370"/>
      <c r="N111" s="398"/>
      <c r="O111" s="398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398"/>
      <c r="AA111" s="398"/>
      <c r="AB111" s="398"/>
      <c r="AC111" s="398"/>
      <c r="AD111" s="398"/>
      <c r="AE111" s="398"/>
      <c r="AF111" s="398"/>
      <c r="AG111" s="398"/>
      <c r="AH111" s="398"/>
      <c r="AI111" s="398"/>
      <c r="AJ111" s="398"/>
    </row>
    <row r="112" spans="1:36" ht="21" x14ac:dyDescent="0.4">
      <c r="B112" s="398"/>
      <c r="C112" s="370">
        <v>13</v>
      </c>
      <c r="D112" s="370">
        <f>IFERROR('Расчет фасадов MAX'!Y208,0)</f>
        <v>0</v>
      </c>
      <c r="E112" s="370"/>
      <c r="F112" s="370">
        <f>IFERROR('Расчет фасадов MAX'!Z208,0)</f>
        <v>0</v>
      </c>
      <c r="G112" s="370">
        <f>IFERROR('Расчет фасадов MAX'!AC208,0)</f>
        <v>0</v>
      </c>
      <c r="H112" s="370">
        <f>IFERROR('Расчет фасадов MAX'!AD208,0)</f>
        <v>0</v>
      </c>
      <c r="I112" s="370">
        <f>IFERROR('Расчет фасадов MAX'!AB208,0)</f>
        <v>0</v>
      </c>
      <c r="J112" s="370">
        <f>IFERROR('Расчет фасадов MAX'!AA208,0)</f>
        <v>0</v>
      </c>
      <c r="K112" s="370" t="str">
        <f>IFERROR('Расчет фасадов MAX'!AE208,0)</f>
        <v>Фурнитура</v>
      </c>
      <c r="L112" s="370"/>
      <c r="M112" s="370"/>
      <c r="N112" s="398"/>
      <c r="O112" s="398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398"/>
      <c r="AA112" s="398"/>
      <c r="AB112" s="398"/>
      <c r="AC112" s="398"/>
      <c r="AD112" s="398"/>
      <c r="AE112" s="398"/>
      <c r="AF112" s="398"/>
      <c r="AG112" s="398"/>
      <c r="AH112" s="398"/>
      <c r="AI112" s="398"/>
      <c r="AJ112" s="398"/>
    </row>
    <row r="113" spans="1:36" ht="21" x14ac:dyDescent="0.4">
      <c r="B113" s="398"/>
      <c r="C113" s="370">
        <v>14</v>
      </c>
      <c r="D113" s="370">
        <f>IFERROR('Расчет фасадов MAX'!Y209,0)</f>
        <v>0</v>
      </c>
      <c r="E113" s="370"/>
      <c r="F113" s="370">
        <f>IFERROR('Расчет фасадов MAX'!Z209,0)</f>
        <v>0</v>
      </c>
      <c r="G113" s="370">
        <f>IFERROR('Расчет фасадов MAX'!AC209,0)</f>
        <v>0</v>
      </c>
      <c r="H113" s="370">
        <f>IFERROR('Расчет фасадов MAX'!AD209,0)</f>
        <v>0</v>
      </c>
      <c r="I113" s="370">
        <f>IFERROR('Расчет фасадов MAX'!AB209,0)</f>
        <v>0</v>
      </c>
      <c r="J113" s="370">
        <f>IFERROR('Расчет фасадов MAX'!AA209,0)</f>
        <v>0</v>
      </c>
      <c r="K113" s="370" t="str">
        <f>IFERROR('Расчет фасадов MAX'!AE209,0)</f>
        <v>Полуфабрикаты производимые в процессе</v>
      </c>
      <c r="L113" s="370"/>
      <c r="M113" s="370"/>
      <c r="N113" s="398"/>
      <c r="O113" s="398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398"/>
      <c r="AA113" s="398"/>
      <c r="AB113" s="398"/>
      <c r="AC113" s="398"/>
      <c r="AD113" s="398"/>
      <c r="AE113" s="398"/>
      <c r="AF113" s="398"/>
      <c r="AG113" s="398"/>
      <c r="AH113" s="398"/>
      <c r="AI113" s="398"/>
      <c r="AJ113" s="398"/>
    </row>
    <row r="114" spans="1:36" ht="21.6" thickBot="1" x14ac:dyDescent="0.45">
      <c r="A114" s="245"/>
      <c r="B114" s="400"/>
      <c r="C114" s="373">
        <v>15</v>
      </c>
      <c r="D114" s="373">
        <f>IFERROR('Расчет фасадов MAX'!Y210,0)</f>
        <v>0</v>
      </c>
      <c r="E114" s="373"/>
      <c r="F114" s="373">
        <f>IFERROR('Расчет фасадов MAX'!Z210,0)</f>
        <v>0</v>
      </c>
      <c r="G114" s="373">
        <f>IFERROR('Расчет фасадов MAX'!AC210,0)</f>
        <v>0</v>
      </c>
      <c r="H114" s="373">
        <f>IFERROR('Расчет фасадов MAX'!AD210,0)</f>
        <v>0</v>
      </c>
      <c r="I114" s="373">
        <f>IFERROR('Расчет фасадов MAX'!AB210,0)</f>
        <v>0</v>
      </c>
      <c r="J114" s="373">
        <f>IFERROR('Расчет фасадов MAX'!AA210,0)</f>
        <v>0</v>
      </c>
      <c r="K114" s="373" t="str">
        <f>IFERROR('Расчет фасадов MAX'!AE210,0)</f>
        <v>Фурнитура</v>
      </c>
      <c r="L114" s="373"/>
      <c r="M114" s="373"/>
      <c r="N114" s="400"/>
      <c r="O114" s="400"/>
      <c r="P114" s="400"/>
      <c r="Q114" s="400"/>
      <c r="R114" s="400"/>
      <c r="S114" s="400"/>
      <c r="T114" s="400"/>
      <c r="U114" s="400"/>
      <c r="V114" s="400"/>
      <c r="W114" s="400"/>
      <c r="X114" s="400"/>
      <c r="Y114" s="400"/>
      <c r="Z114" s="400"/>
      <c r="AA114" s="400"/>
      <c r="AB114" s="400"/>
      <c r="AC114" s="400"/>
      <c r="AD114" s="400"/>
      <c r="AE114" s="400"/>
      <c r="AF114" s="400"/>
      <c r="AG114" s="400"/>
      <c r="AH114" s="400"/>
      <c r="AI114" s="400"/>
      <c r="AJ114" s="400"/>
    </row>
    <row r="115" spans="1:36" ht="84" x14ac:dyDescent="0.4">
      <c r="B115" s="388" t="s">
        <v>521</v>
      </c>
      <c r="C115" s="388"/>
      <c r="D115" s="388" t="s">
        <v>2</v>
      </c>
      <c r="E115" s="388" t="s">
        <v>0</v>
      </c>
      <c r="F115" s="388" t="s">
        <v>233</v>
      </c>
      <c r="G115" s="389" t="s">
        <v>558</v>
      </c>
      <c r="H115" s="390" t="s">
        <v>559</v>
      </c>
      <c r="I115" s="391" t="s">
        <v>560</v>
      </c>
      <c r="J115" s="392" t="s">
        <v>149</v>
      </c>
      <c r="K115" s="393" t="s">
        <v>237</v>
      </c>
      <c r="L115" s="394" t="s">
        <v>522</v>
      </c>
      <c r="M115" s="395"/>
      <c r="N115" s="396" t="s">
        <v>14</v>
      </c>
      <c r="O115" s="396" t="s">
        <v>523</v>
      </c>
      <c r="P115" s="396" t="s">
        <v>524</v>
      </c>
      <c r="Q115" s="396" t="s">
        <v>525</v>
      </c>
      <c r="R115" s="396" t="s">
        <v>526</v>
      </c>
      <c r="S115" s="396" t="s">
        <v>527</v>
      </c>
      <c r="T115" s="396" t="s">
        <v>528</v>
      </c>
      <c r="U115" s="396" t="s">
        <v>529</v>
      </c>
      <c r="V115" s="396" t="s">
        <v>530</v>
      </c>
      <c r="W115" s="396" t="s">
        <v>531</v>
      </c>
      <c r="X115" s="396" t="s">
        <v>532</v>
      </c>
      <c r="Y115" s="397" t="s">
        <v>533</v>
      </c>
      <c r="Z115" s="396" t="s">
        <v>534</v>
      </c>
      <c r="AA115" s="396" t="s">
        <v>535</v>
      </c>
      <c r="AB115" s="396" t="s">
        <v>536</v>
      </c>
      <c r="AC115" s="396" t="s">
        <v>537</v>
      </c>
      <c r="AD115" s="396" t="s">
        <v>538</v>
      </c>
      <c r="AE115" s="396" t="s">
        <v>539</v>
      </c>
      <c r="AF115" s="396" t="s">
        <v>540</v>
      </c>
      <c r="AG115" s="396" t="s">
        <v>541</v>
      </c>
      <c r="AH115" s="396" t="s">
        <v>542</v>
      </c>
      <c r="AI115" s="396" t="s">
        <v>543</v>
      </c>
      <c r="AJ115" s="396" t="s">
        <v>379</v>
      </c>
    </row>
    <row r="116" spans="1:36" ht="21" x14ac:dyDescent="0.4">
      <c r="A116" t="str">
        <f>IF('Фасады EDGE MAX'!$X$29&gt;0, "ВФасад", "Пусто")</f>
        <v>Пусто</v>
      </c>
      <c r="B116" s="662" t="s">
        <v>555</v>
      </c>
      <c r="C116" s="367">
        <v>1</v>
      </c>
      <c r="D116" s="367" t="str">
        <f>IFERROR('Расчет фасадов MAX'!Y228,0)</f>
        <v>Фасад, Рамочный узкий профиль</v>
      </c>
      <c r="E116" s="367"/>
      <c r="F116" s="367">
        <f>IFERROR('Расчет фасадов MAX'!Z228,0)</f>
        <v>0</v>
      </c>
      <c r="G116" s="367" t="str">
        <f>IFERROR('Расчет фасадов MAX'!AC228,0)</f>
        <v>0мм-0шт</v>
      </c>
      <c r="H116" s="368">
        <f>IFERROR('Расчет фасадов MAX'!AD228,0)</f>
        <v>0</v>
      </c>
      <c r="I116" s="367">
        <f>IFERROR('Расчет фасадов MAX'!AB228,0)</f>
        <v>0</v>
      </c>
      <c r="J116" s="369">
        <f>IFERROR('Расчет фасадов MAX'!AA228,0)</f>
        <v>0</v>
      </c>
      <c r="K116" s="367" t="str">
        <f>IFERROR('Расчет фасадов MAX'!AE228,0)</f>
        <v>Полуфабрикаты производимые в процессе</v>
      </c>
      <c r="L116" s="367"/>
      <c r="M116" s="367"/>
      <c r="N116" s="398" t="s">
        <v>544</v>
      </c>
      <c r="O116" s="398" t="s">
        <v>545</v>
      </c>
      <c r="P116" s="398" t="str">
        <f>IFERROR('Расчет фасадов MAX'!$B$233,0)</f>
        <v>.</v>
      </c>
      <c r="Q116" s="398"/>
      <c r="R116" s="398"/>
      <c r="S116" s="398"/>
      <c r="T116" s="398"/>
      <c r="U116" s="398"/>
      <c r="V116" s="398" t="s">
        <v>546</v>
      </c>
      <c r="W116" s="398" t="s">
        <v>546</v>
      </c>
      <c r="X116" s="398" t="s">
        <v>547</v>
      </c>
      <c r="Y116" s="398" t="s">
        <v>361</v>
      </c>
      <c r="Z116" s="398"/>
      <c r="AA116" s="398">
        <f>'Фасады EDGE MAX'!$C$29</f>
        <v>0</v>
      </c>
      <c r="AB116" s="398" t="s">
        <v>555</v>
      </c>
      <c r="AC116" s="398">
        <f>'Фасады EDGE MAX'!$G$29</f>
        <v>0</v>
      </c>
      <c r="AD116" s="398">
        <f>'Фасады EDGE MAX'!$I$29</f>
        <v>0</v>
      </c>
      <c r="AE116" s="398"/>
      <c r="AF116" s="398"/>
      <c r="AG116" s="398"/>
      <c r="AH116" s="398"/>
      <c r="AI116" s="398"/>
      <c r="AJ116" s="399">
        <f>'Фасады EDGE MAX'!$W$29</f>
        <v>0</v>
      </c>
    </row>
    <row r="117" spans="1:36" ht="21" x14ac:dyDescent="0.4">
      <c r="B117" s="662"/>
      <c r="C117" s="370">
        <v>2</v>
      </c>
      <c r="D117" s="370" t="str">
        <f>IFERROR('Расчет фасадов MAX'!Y229,0)</f>
        <v>Фасад, Рамочный узкий профиль</v>
      </c>
      <c r="E117" s="370"/>
      <c r="F117" s="370">
        <f>IFERROR('Расчет фасадов MAX'!Z229,0)</f>
        <v>0</v>
      </c>
      <c r="G117" s="370" t="str">
        <f>IFERROR('Расчет фасадов MAX'!AC229,0)</f>
        <v>0мм-0шт</v>
      </c>
      <c r="H117" s="370">
        <f>IFERROR('Расчет фасадов MAX'!AD229,0)</f>
        <v>0</v>
      </c>
      <c r="I117" s="370">
        <f>IFERROR('Расчет фасадов MAX'!AB229,0)</f>
        <v>0</v>
      </c>
      <c r="J117" s="370">
        <f>IFERROR('Расчет фасадов MAX'!AA229,0)</f>
        <v>0</v>
      </c>
      <c r="K117" s="370" t="str">
        <f>IFERROR('Расчет фасадов MAX'!AE229,0)</f>
        <v>Полуфабрикаты производимые в процессе</v>
      </c>
      <c r="L117" s="370"/>
      <c r="M117" s="370"/>
      <c r="N117" s="398"/>
      <c r="O117" s="398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398"/>
      <c r="AA117" s="398"/>
      <c r="AB117" s="398"/>
      <c r="AC117" s="398"/>
      <c r="AD117" s="398"/>
      <c r="AE117" s="398"/>
      <c r="AF117" s="398"/>
      <c r="AG117" s="398"/>
      <c r="AH117" s="398"/>
      <c r="AI117" s="398"/>
      <c r="AJ117" s="398"/>
    </row>
    <row r="118" spans="1:36" ht="21" x14ac:dyDescent="0.4">
      <c r="B118" s="398"/>
      <c r="C118" s="370">
        <v>3</v>
      </c>
      <c r="D118" s="370" t="str">
        <f>IFERROR('Расчет фасадов MAX'!Y230,0)</f>
        <v>Фасад, Рамочный узкий профиль</v>
      </c>
      <c r="E118" s="370"/>
      <c r="F118" s="370">
        <f>IFERROR('Расчет фасадов MAX'!Z230,0)</f>
        <v>0</v>
      </c>
      <c r="G118" s="370" t="str">
        <f>IFERROR('Расчет фасадов MAX'!AC230,0)</f>
        <v>0мм-0шт</v>
      </c>
      <c r="H118" s="370">
        <f>IFERROR('Расчет фасадов MAX'!AD230,0)</f>
        <v>0</v>
      </c>
      <c r="I118" s="370">
        <f>IFERROR('Расчет фасадов MAX'!AB230,0)</f>
        <v>0</v>
      </c>
      <c r="J118" s="370">
        <f>IFERROR('Расчет фасадов MAX'!AA230,0)</f>
        <v>0</v>
      </c>
      <c r="K118" s="370" t="str">
        <f>IFERROR('Расчет фасадов MAX'!AE230,0)</f>
        <v>Полуфабрикаты производимые в процессе</v>
      </c>
      <c r="L118" s="370"/>
      <c r="M118" s="370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398"/>
      <c r="AA118" s="398"/>
      <c r="AB118" s="398"/>
      <c r="AC118" s="398"/>
      <c r="AD118" s="398"/>
      <c r="AE118" s="398"/>
      <c r="AF118" s="398"/>
      <c r="AG118" s="398"/>
      <c r="AH118" s="398"/>
      <c r="AI118" s="398"/>
      <c r="AJ118" s="398"/>
    </row>
    <row r="119" spans="1:36" ht="21" x14ac:dyDescent="0.4">
      <c r="B119" s="398"/>
      <c r="C119" s="370">
        <v>4</v>
      </c>
      <c r="D119" s="370" t="str">
        <f>IFERROR('Расчет фасадов MAX'!Y231,0)</f>
        <v>Фасад, Рамочный узкий профиль</v>
      </c>
      <c r="E119" s="370"/>
      <c r="F119" s="370">
        <f>IFERROR('Расчет фасадов MAX'!Z231,0)</f>
        <v>0</v>
      </c>
      <c r="G119" s="370" t="str">
        <f>IFERROR('Расчет фасадов MAX'!AC231,0)</f>
        <v>0мм-0шт</v>
      </c>
      <c r="H119" s="370">
        <f>IFERROR('Расчет фасадов MAX'!AD231,0)</f>
        <v>0</v>
      </c>
      <c r="I119" s="370">
        <f>IFERROR('Расчет фасадов MAX'!AB231,0)</f>
        <v>0</v>
      </c>
      <c r="J119" s="370">
        <f>IFERROR('Расчет фасадов MAX'!AA231,0)</f>
        <v>0</v>
      </c>
      <c r="K119" s="370" t="str">
        <f>IFERROR('Расчет фасадов MAX'!AE231,0)</f>
        <v>Полуфабрикаты производимые в процессе</v>
      </c>
      <c r="L119" s="370"/>
      <c r="M119" s="370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398"/>
      <c r="AA119" s="398"/>
      <c r="AB119" s="398"/>
      <c r="AC119" s="398"/>
      <c r="AD119" s="398"/>
      <c r="AE119" s="398"/>
      <c r="AF119" s="398"/>
      <c r="AG119" s="398"/>
      <c r="AH119" s="398"/>
      <c r="AI119" s="398"/>
      <c r="AJ119" s="398"/>
    </row>
    <row r="120" spans="1:36" ht="21" x14ac:dyDescent="0.4">
      <c r="B120" s="398"/>
      <c r="C120" s="370">
        <v>5</v>
      </c>
      <c r="D120" s="370">
        <f>IFERROR('Расчет фасадов MAX'!Y232,0)</f>
        <v>0</v>
      </c>
      <c r="E120" s="370"/>
      <c r="F120" s="370" t="str">
        <f>IFERROR('Расчет фасадов MAX'!Z232,0)</f>
        <v>.</v>
      </c>
      <c r="G120" s="370">
        <f>IFERROR('Расчет фасадов MAX'!AC232,0)</f>
        <v>0</v>
      </c>
      <c r="H120" s="370">
        <f>IFERROR('Расчет фасадов MAX'!AD232,0)</f>
        <v>0</v>
      </c>
      <c r="I120" s="370" t="str">
        <f>IFERROR('Расчет фасадов MAX'!AB232,0)</f>
        <v>В -6, Ш -6</v>
      </c>
      <c r="J120" s="370">
        <f>IFERROR('Расчет фасадов MAX'!AA232,0)</f>
        <v>0</v>
      </c>
      <c r="K120" s="370" t="str">
        <f>IFERROR('Расчет фасадов MAX'!AE232,0)</f>
        <v>Вставки</v>
      </c>
      <c r="L120" s="370"/>
      <c r="M120" s="370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398"/>
      <c r="AA120" s="398"/>
      <c r="AB120" s="398"/>
      <c r="AC120" s="398"/>
      <c r="AD120" s="398"/>
      <c r="AE120" s="398"/>
      <c r="AF120" s="398"/>
      <c r="AG120" s="398"/>
      <c r="AH120" s="398"/>
      <c r="AI120" s="398"/>
      <c r="AJ120" s="398"/>
    </row>
    <row r="121" spans="1:36" ht="21" x14ac:dyDescent="0.4">
      <c r="B121" s="398"/>
      <c r="C121" s="370">
        <v>6</v>
      </c>
      <c r="D121" s="370" t="str">
        <f>IFERROR('Расчет фасадов MAX'!Y233,0)</f>
        <v>Воздушно-пузырьковая пленка 3-10-115 (1,2*100)</v>
      </c>
      <c r="E121" s="370"/>
      <c r="F121" s="370" t="str">
        <f>IFERROR('Расчет фасадов MAX'!Z233,0)</f>
        <v>3-10-115</v>
      </c>
      <c r="G121" s="370">
        <f>IFERROR('Расчет фасадов MAX'!AC233,0)</f>
        <v>0</v>
      </c>
      <c r="H121" s="370">
        <f>IFERROR('Расчет фасадов MAX'!AD233,0)</f>
        <v>0</v>
      </c>
      <c r="I121" s="370">
        <f>IFERROR('Расчет фасадов MAX'!AB233,0)</f>
        <v>0</v>
      </c>
      <c r="J121" s="370">
        <f>IFERROR('Расчет фасадов MAX'!AA233,0)</f>
        <v>0</v>
      </c>
      <c r="K121" s="370" t="str">
        <f>IFERROR('Расчет фасадов MAX'!AE233,0)</f>
        <v>Полуфабрикаты производимые в процессе</v>
      </c>
      <c r="L121" s="370"/>
      <c r="M121" s="370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398"/>
      <c r="AA121" s="398"/>
      <c r="AB121" s="398"/>
      <c r="AC121" s="398"/>
      <c r="AD121" s="398"/>
      <c r="AE121" s="398"/>
      <c r="AF121" s="398"/>
      <c r="AG121" s="398"/>
      <c r="AH121" s="398"/>
      <c r="AI121" s="398"/>
      <c r="AJ121" s="398"/>
    </row>
    <row r="122" spans="1:36" ht="21" x14ac:dyDescent="0.4">
      <c r="B122" s="398"/>
      <c r="C122" s="370">
        <v>7</v>
      </c>
      <c r="D122" s="370" t="str">
        <f>IFERROR('Расчет фасадов MAX'!Y234,0)</f>
        <v>Новофлекс П 40-50 (L3100)</v>
      </c>
      <c r="E122" s="370"/>
      <c r="F122" s="370" t="str">
        <f>IFERROR('Расчет фасадов MAX'!Z234,0)</f>
        <v>П 40-50</v>
      </c>
      <c r="G122" s="370">
        <f>IFERROR('Расчет фасадов MAX'!AC234,0)</f>
        <v>0</v>
      </c>
      <c r="H122" s="370">
        <f>IFERROR('Расчет фасадов MAX'!AD234,0)</f>
        <v>0</v>
      </c>
      <c r="I122" s="370">
        <f>IFERROR('Расчет фасадов MAX'!AB234,0)</f>
        <v>0</v>
      </c>
      <c r="J122" s="370">
        <f>IFERROR('Расчет фасадов MAX'!AA234,0)</f>
        <v>0</v>
      </c>
      <c r="K122" s="370" t="str">
        <f>IFERROR('Расчет фасадов MAX'!AE234,0)</f>
        <v>Полуфабрикаты производимые в процессе</v>
      </c>
      <c r="L122" s="370"/>
      <c r="M122" s="370"/>
      <c r="N122" s="398"/>
      <c r="O122" s="398"/>
      <c r="P122" s="398"/>
      <c r="Q122" s="398"/>
      <c r="R122" s="398"/>
      <c r="S122" s="398"/>
      <c r="T122" s="398"/>
      <c r="U122" s="398"/>
      <c r="V122" s="398"/>
      <c r="W122" s="398"/>
      <c r="X122" s="398"/>
      <c r="Y122" s="398"/>
      <c r="Z122" s="398"/>
      <c r="AA122" s="398"/>
      <c r="AB122" s="398"/>
      <c r="AC122" s="398"/>
      <c r="AD122" s="398"/>
      <c r="AE122" s="398"/>
      <c r="AF122" s="398"/>
      <c r="AG122" s="398"/>
      <c r="AH122" s="398"/>
      <c r="AI122" s="398"/>
      <c r="AJ122" s="398"/>
    </row>
    <row r="123" spans="1:36" ht="21" x14ac:dyDescent="0.4">
      <c r="B123" s="398"/>
      <c r="C123" s="370">
        <v>8</v>
      </c>
      <c r="D123" s="370" t="str">
        <f>IFERROR('Расчет фасадов MAX'!Y235,0)</f>
        <v>Стрейч плёнка 500*300 (087.0800.50) первичная</v>
      </c>
      <c r="E123" s="370"/>
      <c r="F123" s="370" t="str">
        <f>IFERROR('Расчет фасадов MAX'!Z235,0)</f>
        <v>087.0800.50</v>
      </c>
      <c r="G123" s="370">
        <f>IFERROR('Расчет фасадов MAX'!AC235,0)</f>
        <v>0</v>
      </c>
      <c r="H123" s="370">
        <f>IFERROR('Расчет фасадов MAX'!AD235,0)</f>
        <v>0</v>
      </c>
      <c r="I123" s="370">
        <f>IFERROR('Расчет фасадов MAX'!AB235,0)</f>
        <v>0</v>
      </c>
      <c r="J123" s="370">
        <f>IFERROR('Расчет фасадов MAX'!AA235,0)</f>
        <v>0</v>
      </c>
      <c r="K123" s="370" t="str">
        <f>IFERROR('Расчет фасадов MAX'!AE235,0)</f>
        <v>Полуфабрикаты производимые в процессе</v>
      </c>
      <c r="L123" s="370"/>
      <c r="M123" s="370"/>
      <c r="N123" s="398"/>
      <c r="O123" s="398"/>
      <c r="P123" s="398"/>
      <c r="Q123" s="398"/>
      <c r="R123" s="398"/>
      <c r="S123" s="398"/>
      <c r="T123" s="398"/>
      <c r="U123" s="398"/>
      <c r="V123" s="398"/>
      <c r="W123" s="398"/>
      <c r="X123" s="398"/>
      <c r="Y123" s="398"/>
      <c r="Z123" s="398"/>
      <c r="AA123" s="398"/>
      <c r="AB123" s="398"/>
      <c r="AC123" s="398"/>
      <c r="AD123" s="398"/>
      <c r="AE123" s="398"/>
      <c r="AF123" s="398"/>
      <c r="AG123" s="398"/>
      <c r="AH123" s="398"/>
      <c r="AI123" s="398"/>
      <c r="AJ123" s="398"/>
    </row>
    <row r="124" spans="1:36" ht="21" x14ac:dyDescent="0.4">
      <c r="B124" s="398"/>
      <c r="C124" s="370">
        <v>9</v>
      </c>
      <c r="D124" s="370" t="str">
        <f>IFERROR('Расчет фасадов MAX'!Y236,0)</f>
        <v>Скотч АРИСТО 2021 06.21</v>
      </c>
      <c r="E124" s="370"/>
      <c r="F124" s="370" t="str">
        <f>IFERROR('Расчет фасадов MAX'!Z236,0)</f>
        <v>ARR-0335</v>
      </c>
      <c r="G124" s="370">
        <f>IFERROR('Расчет фасадов MAX'!AC236,0)</f>
        <v>0</v>
      </c>
      <c r="H124" s="370">
        <f>IFERROR('Расчет фасадов MAX'!AD236,0)</f>
        <v>0</v>
      </c>
      <c r="I124" s="370">
        <f>IFERROR('Расчет фасадов MAX'!AB236,0)</f>
        <v>0</v>
      </c>
      <c r="J124" s="370">
        <f>IFERROR('Расчет фасадов MAX'!AA236,0)</f>
        <v>0</v>
      </c>
      <c r="K124" s="370" t="str">
        <f>IFERROR('Расчет фасадов MAX'!AE236,0)</f>
        <v>Полуфабрикаты производимые в процессе</v>
      </c>
      <c r="L124" s="370"/>
      <c r="M124" s="370"/>
      <c r="N124" s="398"/>
      <c r="O124" s="398"/>
      <c r="P124" s="398"/>
      <c r="Q124" s="398"/>
      <c r="R124" s="398"/>
      <c r="S124" s="398"/>
      <c r="T124" s="398"/>
      <c r="U124" s="398"/>
      <c r="V124" s="398"/>
      <c r="W124" s="398"/>
      <c r="X124" s="398"/>
      <c r="Y124" s="398"/>
      <c r="Z124" s="398"/>
      <c r="AA124" s="398"/>
      <c r="AB124" s="398"/>
      <c r="AC124" s="398"/>
      <c r="AD124" s="398"/>
      <c r="AE124" s="398"/>
      <c r="AF124" s="398"/>
      <c r="AG124" s="398"/>
      <c r="AH124" s="398"/>
      <c r="AI124" s="398"/>
      <c r="AJ124" s="398"/>
    </row>
    <row r="125" spans="1:36" ht="21" x14ac:dyDescent="0.4">
      <c r="B125" s="398"/>
      <c r="C125" s="370">
        <v>10</v>
      </c>
      <c r="D125" s="370" t="str">
        <f>IFERROR('Расчет фасадов MAX'!Y237,0)</f>
        <v>Клейкая лента прозрачная 72мм*45мм*50мкм</v>
      </c>
      <c r="E125" s="370"/>
      <c r="F125" s="370" t="str">
        <f>IFERROR('Расчет фасадов MAX'!Z237,0)</f>
        <v>0800.50</v>
      </c>
      <c r="G125" s="370">
        <f>IFERROR('Расчет фасадов MAX'!AC237,0)</f>
        <v>0</v>
      </c>
      <c r="H125" s="370">
        <f>IFERROR('Расчет фасадов MAX'!AD237,0)</f>
        <v>0</v>
      </c>
      <c r="I125" s="370">
        <f>IFERROR('Расчет фасадов MAX'!AB237,0)</f>
        <v>0</v>
      </c>
      <c r="J125" s="370">
        <f>IFERROR('Расчет фасадов MAX'!AA237,0)</f>
        <v>0</v>
      </c>
      <c r="K125" s="370" t="str">
        <f>IFERROR('Расчет фасадов MAX'!AE237,0)</f>
        <v>Полуфабрикаты производимые в процессе</v>
      </c>
      <c r="L125" s="370"/>
      <c r="M125" s="370"/>
      <c r="N125" s="398"/>
      <c r="O125" s="398"/>
      <c r="P125" s="398"/>
      <c r="Q125" s="398"/>
      <c r="R125" s="398"/>
      <c r="S125" s="398"/>
      <c r="T125" s="398"/>
      <c r="U125" s="398"/>
      <c r="V125" s="398"/>
      <c r="W125" s="398"/>
      <c r="X125" s="398"/>
      <c r="Y125" s="398"/>
      <c r="Z125" s="398"/>
      <c r="AA125" s="398"/>
      <c r="AB125" s="398"/>
      <c r="AC125" s="398"/>
      <c r="AD125" s="398"/>
      <c r="AE125" s="398"/>
      <c r="AF125" s="398"/>
      <c r="AG125" s="398"/>
      <c r="AH125" s="398"/>
      <c r="AI125" s="398"/>
      <c r="AJ125" s="398"/>
    </row>
    <row r="126" spans="1:36" ht="21" x14ac:dyDescent="0.4">
      <c r="B126" s="398"/>
      <c r="C126" s="370">
        <v>11</v>
      </c>
      <c r="D126" s="370" t="str">
        <f>IFERROR('Расчет фасадов MAX'!Y238,0)</f>
        <v>Клейкая ленка "ОСТОРОЖНО! СТЕКЛО"</v>
      </c>
      <c r="E126" s="370"/>
      <c r="F126" s="370" t="str">
        <f>IFERROR('Расчет фасадов MAX'!Z238,0)</f>
        <v>43скл</v>
      </c>
      <c r="G126" s="370">
        <f>IFERROR('Расчет фасадов MAX'!AC238,0)</f>
        <v>0</v>
      </c>
      <c r="H126" s="370">
        <f>IFERROR('Расчет фасадов MAX'!AD238,0)</f>
        <v>0</v>
      </c>
      <c r="I126" s="370">
        <f>IFERROR('Расчет фасадов MAX'!AB238,0)</f>
        <v>0</v>
      </c>
      <c r="J126" s="370">
        <f>IFERROR('Расчет фасадов MAX'!AA238,0)</f>
        <v>1</v>
      </c>
      <c r="K126" s="370" t="str">
        <f>IFERROR('Расчет фасадов MAX'!AE238,0)</f>
        <v>Полуфабрикаты производимые в процессе</v>
      </c>
      <c r="L126" s="370"/>
      <c r="M126" s="370"/>
      <c r="N126" s="398"/>
      <c r="O126" s="398"/>
      <c r="P126" s="398"/>
      <c r="Q126" s="398"/>
      <c r="R126" s="398"/>
      <c r="S126" s="398"/>
      <c r="T126" s="398"/>
      <c r="U126" s="398"/>
      <c r="V126" s="398"/>
      <c r="W126" s="398"/>
      <c r="X126" s="398"/>
      <c r="Y126" s="398"/>
      <c r="Z126" s="398"/>
      <c r="AA126" s="398"/>
      <c r="AB126" s="398"/>
      <c r="AC126" s="398"/>
      <c r="AD126" s="398"/>
      <c r="AE126" s="398"/>
      <c r="AF126" s="398"/>
      <c r="AG126" s="398"/>
      <c r="AH126" s="398"/>
      <c r="AI126" s="398"/>
      <c r="AJ126" s="398"/>
    </row>
    <row r="127" spans="1:36" ht="21" x14ac:dyDescent="0.4">
      <c r="B127" s="398"/>
      <c r="C127" s="370">
        <v>12</v>
      </c>
      <c r="D127" s="370" t="str">
        <f>IFERROR('Расчет фасадов MAX'!Y239,0)</f>
        <v>Пленка-мешок полиэтиленовый 250*700*0,1</v>
      </c>
      <c r="E127" s="370"/>
      <c r="F127" s="370" t="str">
        <f>IFERROR('Расчет фасадов MAX'!Z239,0)</f>
        <v>250*700*0,1</v>
      </c>
      <c r="G127" s="370">
        <f>IFERROR('Расчет фасадов MAX'!AC239,0)</f>
        <v>0</v>
      </c>
      <c r="H127" s="370">
        <f>IFERROR('Расчет фасадов MAX'!AD239,0)</f>
        <v>1</v>
      </c>
      <c r="I127" s="370">
        <f>IFERROR('Расчет фасадов MAX'!AB239,0)</f>
        <v>0</v>
      </c>
      <c r="J127" s="370">
        <f>IFERROR('Расчет фасадов MAX'!AA239,0)</f>
        <v>1</v>
      </c>
      <c r="K127" s="370" t="str">
        <f>IFERROR('Расчет фасадов MAX'!AE239,0)</f>
        <v>Полуфабрикаты производимые в процессе</v>
      </c>
      <c r="L127" s="370"/>
      <c r="M127" s="370"/>
      <c r="N127" s="398"/>
      <c r="O127" s="398"/>
      <c r="P127" s="398"/>
      <c r="Q127" s="398"/>
      <c r="R127" s="398"/>
      <c r="S127" s="398"/>
      <c r="T127" s="398"/>
      <c r="U127" s="398"/>
      <c r="V127" s="398"/>
      <c r="W127" s="398"/>
      <c r="X127" s="398"/>
      <c r="Y127" s="398"/>
      <c r="Z127" s="398"/>
      <c r="AA127" s="398"/>
      <c r="AB127" s="398"/>
      <c r="AC127" s="398"/>
      <c r="AD127" s="398"/>
      <c r="AE127" s="398"/>
      <c r="AF127" s="398"/>
      <c r="AG127" s="398"/>
      <c r="AH127" s="398"/>
      <c r="AI127" s="398"/>
      <c r="AJ127" s="398"/>
    </row>
    <row r="128" spans="1:36" ht="21" x14ac:dyDescent="0.4">
      <c r="B128" s="398"/>
      <c r="C128" s="370">
        <v>13</v>
      </c>
      <c r="D128" s="370">
        <f>IFERROR('Расчет фасадов MAX'!Y240,0)</f>
        <v>0</v>
      </c>
      <c r="E128" s="370"/>
      <c r="F128" s="370">
        <f>IFERROR('Расчет фасадов MAX'!Z240,0)</f>
        <v>0</v>
      </c>
      <c r="G128" s="370">
        <f>IFERROR('Расчет фасадов MAX'!AC240,0)</f>
        <v>0</v>
      </c>
      <c r="H128" s="370">
        <f>IFERROR('Расчет фасадов MAX'!AD240,0)</f>
        <v>0</v>
      </c>
      <c r="I128" s="370">
        <f>IFERROR('Расчет фасадов MAX'!AB240,0)</f>
        <v>0</v>
      </c>
      <c r="J128" s="370">
        <f>IFERROR('Расчет фасадов MAX'!AA240,0)</f>
        <v>0</v>
      </c>
      <c r="K128" s="370" t="str">
        <f>IFERROR('Расчет фасадов MAX'!AE240,0)</f>
        <v>Фурнитура</v>
      </c>
      <c r="L128" s="370"/>
      <c r="M128" s="370"/>
      <c r="N128" s="398"/>
      <c r="O128" s="398"/>
      <c r="P128" s="398"/>
      <c r="Q128" s="398"/>
      <c r="R128" s="398"/>
      <c r="S128" s="398"/>
      <c r="T128" s="398"/>
      <c r="U128" s="398"/>
      <c r="V128" s="398"/>
      <c r="W128" s="398"/>
      <c r="X128" s="398"/>
      <c r="Y128" s="398"/>
      <c r="Z128" s="398"/>
      <c r="AA128" s="398"/>
      <c r="AB128" s="398"/>
      <c r="AC128" s="398"/>
      <c r="AD128" s="398"/>
      <c r="AE128" s="398"/>
      <c r="AF128" s="398"/>
      <c r="AG128" s="398"/>
      <c r="AH128" s="398"/>
      <c r="AI128" s="398"/>
      <c r="AJ128" s="398"/>
    </row>
    <row r="129" spans="1:36" ht="21" x14ac:dyDescent="0.4">
      <c r="B129" s="398"/>
      <c r="C129" s="370">
        <v>14</v>
      </c>
      <c r="D129" s="370">
        <f>IFERROR('Расчет фасадов MAX'!Y241,0)</f>
        <v>0</v>
      </c>
      <c r="E129" s="370"/>
      <c r="F129" s="370">
        <f>IFERROR('Расчет фасадов MAX'!Z241,0)</f>
        <v>0</v>
      </c>
      <c r="G129" s="370">
        <f>IFERROR('Расчет фасадов MAX'!AC241,0)</f>
        <v>0</v>
      </c>
      <c r="H129" s="370">
        <f>IFERROR('Расчет фасадов MAX'!AD241,0)</f>
        <v>0</v>
      </c>
      <c r="I129" s="370">
        <f>IFERROR('Расчет фасадов MAX'!AB241,0)</f>
        <v>0</v>
      </c>
      <c r="J129" s="370">
        <f>IFERROR('Расчет фасадов MAX'!AA241,0)</f>
        <v>0</v>
      </c>
      <c r="K129" s="370" t="str">
        <f>IFERROR('Расчет фасадов MAX'!AE241,0)</f>
        <v>Полуфабрикаты производимые в процессе</v>
      </c>
      <c r="L129" s="370"/>
      <c r="M129" s="370"/>
      <c r="N129" s="398"/>
      <c r="O129" s="398"/>
      <c r="P129" s="398"/>
      <c r="Q129" s="398"/>
      <c r="R129" s="398"/>
      <c r="S129" s="398"/>
      <c r="T129" s="398"/>
      <c r="U129" s="398"/>
      <c r="V129" s="398"/>
      <c r="W129" s="398"/>
      <c r="X129" s="398"/>
      <c r="Y129" s="398"/>
      <c r="Z129" s="398"/>
      <c r="AA129" s="398"/>
      <c r="AB129" s="398"/>
      <c r="AC129" s="398"/>
      <c r="AD129" s="398"/>
      <c r="AE129" s="398"/>
      <c r="AF129" s="398"/>
      <c r="AG129" s="398"/>
      <c r="AH129" s="398"/>
      <c r="AI129" s="398"/>
      <c r="AJ129" s="398"/>
    </row>
    <row r="130" spans="1:36" ht="21.6" thickBot="1" x14ac:dyDescent="0.45">
      <c r="A130" s="245"/>
      <c r="B130" s="400"/>
      <c r="C130" s="373">
        <v>15</v>
      </c>
      <c r="D130" s="373">
        <f>IFERROR('Расчет фасадов MAX'!Y242,0)</f>
        <v>0</v>
      </c>
      <c r="E130" s="373"/>
      <c r="F130" s="373">
        <f>IFERROR('Расчет фасадов MAX'!Z242,0)</f>
        <v>0</v>
      </c>
      <c r="G130" s="373">
        <f>IFERROR('Расчет фасадов MAX'!AC242,0)</f>
        <v>0</v>
      </c>
      <c r="H130" s="373">
        <f>IFERROR('Расчет фасадов MAX'!AD242,0)</f>
        <v>0</v>
      </c>
      <c r="I130" s="373">
        <f>IFERROR('Расчет фасадов MAX'!AB242,0)</f>
        <v>0</v>
      </c>
      <c r="J130" s="373">
        <f>IFERROR('Расчет фасадов MAX'!AA242,0)</f>
        <v>0</v>
      </c>
      <c r="K130" s="373" t="str">
        <f>IFERROR('Расчет фасадов MAX'!AE242,0)</f>
        <v>Фурнитура</v>
      </c>
      <c r="L130" s="373"/>
      <c r="M130" s="373"/>
      <c r="N130" s="400"/>
      <c r="O130" s="400"/>
      <c r="P130" s="400"/>
      <c r="Q130" s="400"/>
      <c r="R130" s="400"/>
      <c r="S130" s="400"/>
      <c r="T130" s="400"/>
      <c r="U130" s="400"/>
      <c r="V130" s="400"/>
      <c r="W130" s="400"/>
      <c r="X130" s="400"/>
      <c r="Y130" s="400"/>
      <c r="Z130" s="400"/>
      <c r="AA130" s="400"/>
      <c r="AB130" s="400"/>
      <c r="AC130" s="400"/>
      <c r="AD130" s="400"/>
      <c r="AE130" s="400"/>
      <c r="AF130" s="400"/>
      <c r="AG130" s="400"/>
      <c r="AH130" s="400"/>
      <c r="AI130" s="400"/>
      <c r="AJ130" s="400"/>
    </row>
    <row r="131" spans="1:36" ht="84" x14ac:dyDescent="0.4">
      <c r="B131" s="388" t="s">
        <v>521</v>
      </c>
      <c r="C131" s="388"/>
      <c r="D131" s="388" t="s">
        <v>2</v>
      </c>
      <c r="E131" s="388" t="s">
        <v>0</v>
      </c>
      <c r="F131" s="388" t="s">
        <v>233</v>
      </c>
      <c r="G131" s="389" t="s">
        <v>558</v>
      </c>
      <c r="H131" s="390" t="s">
        <v>559</v>
      </c>
      <c r="I131" s="391" t="s">
        <v>560</v>
      </c>
      <c r="J131" s="392" t="s">
        <v>149</v>
      </c>
      <c r="K131" s="393" t="s">
        <v>237</v>
      </c>
      <c r="L131" s="394" t="s">
        <v>522</v>
      </c>
      <c r="M131" s="395"/>
      <c r="N131" s="396" t="s">
        <v>14</v>
      </c>
      <c r="O131" s="396" t="s">
        <v>523</v>
      </c>
      <c r="P131" s="396" t="s">
        <v>524</v>
      </c>
      <c r="Q131" s="396" t="s">
        <v>525</v>
      </c>
      <c r="R131" s="396" t="s">
        <v>526</v>
      </c>
      <c r="S131" s="396" t="s">
        <v>527</v>
      </c>
      <c r="T131" s="396" t="s">
        <v>528</v>
      </c>
      <c r="U131" s="396" t="s">
        <v>529</v>
      </c>
      <c r="V131" s="396" t="s">
        <v>530</v>
      </c>
      <c r="W131" s="396" t="s">
        <v>531</v>
      </c>
      <c r="X131" s="396" t="s">
        <v>532</v>
      </c>
      <c r="Y131" s="397" t="s">
        <v>533</v>
      </c>
      <c r="Z131" s="396" t="s">
        <v>534</v>
      </c>
      <c r="AA131" s="396" t="s">
        <v>535</v>
      </c>
      <c r="AB131" s="396" t="s">
        <v>536</v>
      </c>
      <c r="AC131" s="396" t="s">
        <v>537</v>
      </c>
      <c r="AD131" s="396" t="s">
        <v>538</v>
      </c>
      <c r="AE131" s="396" t="s">
        <v>539</v>
      </c>
      <c r="AF131" s="396" t="s">
        <v>540</v>
      </c>
      <c r="AG131" s="396" t="s">
        <v>541</v>
      </c>
      <c r="AH131" s="396" t="s">
        <v>542</v>
      </c>
      <c r="AI131" s="396" t="s">
        <v>543</v>
      </c>
      <c r="AJ131" s="396" t="s">
        <v>379</v>
      </c>
    </row>
    <row r="132" spans="1:36" ht="21" x14ac:dyDescent="0.4">
      <c r="A132" t="str">
        <f>IF('Фасады EDGE MAX'!$X$32&gt;0, "ВФасад", "Пусто")</f>
        <v>Пусто</v>
      </c>
      <c r="B132" s="662" t="s">
        <v>556</v>
      </c>
      <c r="C132" s="367">
        <v>1</v>
      </c>
      <c r="D132" s="367" t="str">
        <f>IFERROR('Расчет фасадов MAX'!Y260,0)</f>
        <v>Фасад, Рамочный узкий профиль</v>
      </c>
      <c r="E132" s="367"/>
      <c r="F132" s="367">
        <f>IFERROR('Расчет фасадов MAX'!Z260,0)</f>
        <v>0</v>
      </c>
      <c r="G132" s="367" t="str">
        <f>IFERROR('Расчет фасадов MAX'!AC260,0)</f>
        <v>0мм-0шт</v>
      </c>
      <c r="H132" s="368">
        <f>IFERROR('Расчет фасадов MAX'!AD260,0)</f>
        <v>0</v>
      </c>
      <c r="I132" s="367">
        <f>IFERROR('Расчет фасадов MAX'!AB260,0)</f>
        <v>0</v>
      </c>
      <c r="J132" s="369">
        <f>IFERROR('Расчет фасадов MAX'!AA260,0)</f>
        <v>0</v>
      </c>
      <c r="K132" s="367" t="str">
        <f>IFERROR('Расчет фасадов MAX'!AE260,0)</f>
        <v>Полуфабрикаты производимые в процессе</v>
      </c>
      <c r="L132" s="367"/>
      <c r="M132" s="367"/>
      <c r="N132" s="398" t="s">
        <v>544</v>
      </c>
      <c r="O132" s="398" t="s">
        <v>545</v>
      </c>
      <c r="P132" s="398" t="str">
        <f>IFERROR('Расчет фасадов MAX'!$B$265,0)</f>
        <v>.</v>
      </c>
      <c r="Q132" s="398"/>
      <c r="R132" s="398"/>
      <c r="S132" s="398"/>
      <c r="T132" s="398"/>
      <c r="U132" s="398"/>
      <c r="V132" s="398" t="s">
        <v>546</v>
      </c>
      <c r="W132" s="398" t="s">
        <v>546</v>
      </c>
      <c r="X132" s="398" t="s">
        <v>547</v>
      </c>
      <c r="Y132" s="398" t="s">
        <v>361</v>
      </c>
      <c r="Z132" s="398"/>
      <c r="AA132" s="398">
        <f>'Фасады EDGE MAX'!$C$32</f>
        <v>0</v>
      </c>
      <c r="AB132" s="398" t="s">
        <v>556</v>
      </c>
      <c r="AC132" s="398">
        <f>'Фасады EDGE MAX'!$G$32</f>
        <v>0</v>
      </c>
      <c r="AD132" s="398">
        <f>'Фасады EDGE MAX'!$I$32</f>
        <v>0</v>
      </c>
      <c r="AE132" s="398"/>
      <c r="AF132" s="398"/>
      <c r="AG132" s="398"/>
      <c r="AH132" s="398"/>
      <c r="AI132" s="398"/>
      <c r="AJ132" s="399">
        <f>'Фасады EDGE MAX'!$W$32</f>
        <v>0</v>
      </c>
    </row>
    <row r="133" spans="1:36" ht="21" x14ac:dyDescent="0.4">
      <c r="B133" s="662"/>
      <c r="C133" s="370">
        <v>2</v>
      </c>
      <c r="D133" s="370" t="str">
        <f>IFERROR('Расчет фасадов MAX'!Y261,0)</f>
        <v>Фасад, Рамочный узкий профиль</v>
      </c>
      <c r="E133" s="370"/>
      <c r="F133" s="370">
        <f>IFERROR('Расчет фасадов MAX'!Z261,0)</f>
        <v>0</v>
      </c>
      <c r="G133" s="370" t="str">
        <f>IFERROR('Расчет фасадов MAX'!AC261,0)</f>
        <v>0мм-0шт</v>
      </c>
      <c r="H133" s="370">
        <f>IFERROR('Расчет фасадов MAX'!AD261,0)</f>
        <v>0</v>
      </c>
      <c r="I133" s="370">
        <f>IFERROR('Расчет фасадов MAX'!AB261,0)</f>
        <v>0</v>
      </c>
      <c r="J133" s="370">
        <f>IFERROR('Расчет фасадов MAX'!AA261,0)</f>
        <v>0</v>
      </c>
      <c r="K133" s="370" t="str">
        <f>IFERROR('Расчет фасадов MAX'!AE261,0)</f>
        <v>Полуфабрикаты производимые в процессе</v>
      </c>
      <c r="L133" s="370"/>
      <c r="M133" s="370"/>
      <c r="N133" s="398"/>
      <c r="O133" s="398"/>
      <c r="P133" s="398"/>
      <c r="Q133" s="398"/>
      <c r="R133" s="398"/>
      <c r="S133" s="398"/>
      <c r="T133" s="398"/>
      <c r="U133" s="398"/>
      <c r="V133" s="398"/>
      <c r="W133" s="398"/>
      <c r="X133" s="398"/>
      <c r="Y133" s="398"/>
      <c r="Z133" s="398"/>
      <c r="AA133" s="398"/>
      <c r="AB133" s="398"/>
      <c r="AC133" s="398"/>
      <c r="AD133" s="398"/>
      <c r="AE133" s="398"/>
      <c r="AF133" s="398"/>
      <c r="AG133" s="398"/>
      <c r="AH133" s="398"/>
      <c r="AI133" s="398"/>
      <c r="AJ133" s="398"/>
    </row>
    <row r="134" spans="1:36" ht="21" x14ac:dyDescent="0.4">
      <c r="B134" s="398"/>
      <c r="C134" s="370">
        <v>3</v>
      </c>
      <c r="D134" s="370" t="str">
        <f>IFERROR('Расчет фасадов MAX'!Y262,0)</f>
        <v>Фасад, Рамочный узкий профиль</v>
      </c>
      <c r="E134" s="370"/>
      <c r="F134" s="370">
        <f>IFERROR('Расчет фасадов MAX'!Z262,0)</f>
        <v>0</v>
      </c>
      <c r="G134" s="370" t="str">
        <f>IFERROR('Расчет фасадов MAX'!AC262,0)</f>
        <v>0мм-0шт</v>
      </c>
      <c r="H134" s="370">
        <f>IFERROR('Расчет фасадов MAX'!AD262,0)</f>
        <v>0</v>
      </c>
      <c r="I134" s="370">
        <f>IFERROR('Расчет фасадов MAX'!AB262,0)</f>
        <v>0</v>
      </c>
      <c r="J134" s="370">
        <f>IFERROR('Расчет фасадов MAX'!AA262,0)</f>
        <v>0</v>
      </c>
      <c r="K134" s="370" t="str">
        <f>IFERROR('Расчет фасадов MAX'!AE262,0)</f>
        <v>Полуфабрикаты производимые в процессе</v>
      </c>
      <c r="L134" s="370"/>
      <c r="M134" s="370"/>
      <c r="N134" s="398"/>
      <c r="O134" s="398"/>
      <c r="P134" s="398"/>
      <c r="Q134" s="398"/>
      <c r="R134" s="398"/>
      <c r="S134" s="398"/>
      <c r="T134" s="398"/>
      <c r="U134" s="398"/>
      <c r="V134" s="398"/>
      <c r="W134" s="398"/>
      <c r="X134" s="398"/>
      <c r="Y134" s="398"/>
      <c r="Z134" s="398"/>
      <c r="AA134" s="398"/>
      <c r="AB134" s="398"/>
      <c r="AC134" s="398"/>
      <c r="AD134" s="398"/>
      <c r="AE134" s="398"/>
      <c r="AF134" s="398"/>
      <c r="AG134" s="398"/>
      <c r="AH134" s="398"/>
      <c r="AI134" s="398"/>
      <c r="AJ134" s="398"/>
    </row>
    <row r="135" spans="1:36" ht="21" x14ac:dyDescent="0.4">
      <c r="B135" s="398"/>
      <c r="C135" s="370">
        <v>4</v>
      </c>
      <c r="D135" s="370" t="str">
        <f>IFERROR('Расчет фасадов MAX'!Y263,0)</f>
        <v>Фасад, Рамочный узкий профиль</v>
      </c>
      <c r="E135" s="370"/>
      <c r="F135" s="370">
        <f>IFERROR('Расчет фасадов MAX'!Z263,0)</f>
        <v>0</v>
      </c>
      <c r="G135" s="370" t="str">
        <f>IFERROR('Расчет фасадов MAX'!AC263,0)</f>
        <v>0мм-0шт</v>
      </c>
      <c r="H135" s="370">
        <f>IFERROR('Расчет фасадов MAX'!AD263,0)</f>
        <v>0</v>
      </c>
      <c r="I135" s="370">
        <f>IFERROR('Расчет фасадов MAX'!AB263,0)</f>
        <v>0</v>
      </c>
      <c r="J135" s="370">
        <f>IFERROR('Расчет фасадов MAX'!AA263,0)</f>
        <v>0</v>
      </c>
      <c r="K135" s="370" t="str">
        <f>IFERROR('Расчет фасадов MAX'!AE263,0)</f>
        <v>Полуфабрикаты производимые в процессе</v>
      </c>
      <c r="L135" s="370"/>
      <c r="M135" s="370"/>
      <c r="N135" s="398"/>
      <c r="O135" s="398"/>
      <c r="P135" s="398"/>
      <c r="Q135" s="398"/>
      <c r="R135" s="398"/>
      <c r="S135" s="398"/>
      <c r="T135" s="398"/>
      <c r="U135" s="398"/>
      <c r="V135" s="398"/>
      <c r="W135" s="398"/>
      <c r="X135" s="398"/>
      <c r="Y135" s="398"/>
      <c r="Z135" s="398"/>
      <c r="AA135" s="398"/>
      <c r="AB135" s="398"/>
      <c r="AC135" s="398"/>
      <c r="AD135" s="398"/>
      <c r="AE135" s="398"/>
      <c r="AF135" s="398"/>
      <c r="AG135" s="398"/>
      <c r="AH135" s="398"/>
      <c r="AI135" s="398"/>
      <c r="AJ135" s="398"/>
    </row>
    <row r="136" spans="1:36" ht="21" x14ac:dyDescent="0.4">
      <c r="B136" s="398"/>
      <c r="C136" s="370">
        <v>5</v>
      </c>
      <c r="D136" s="370">
        <f>IFERROR('Расчет фасадов MAX'!Y264,0)</f>
        <v>0</v>
      </c>
      <c r="E136" s="370"/>
      <c r="F136" s="370" t="str">
        <f>IFERROR('Расчет фасадов MAX'!Z264,0)</f>
        <v>.</v>
      </c>
      <c r="G136" s="370">
        <f>IFERROR('Расчет фасадов MAX'!AC264,0)</f>
        <v>0</v>
      </c>
      <c r="H136" s="370">
        <f>IFERROR('Расчет фасадов MAX'!AD264,0)</f>
        <v>0</v>
      </c>
      <c r="I136" s="370" t="str">
        <f>IFERROR('Расчет фасадов MAX'!AB264,0)</f>
        <v>В -6, Ш -6</v>
      </c>
      <c r="J136" s="370">
        <f>IFERROR('Расчет фасадов MAX'!AA264,0)</f>
        <v>0</v>
      </c>
      <c r="K136" s="370" t="str">
        <f>IFERROR('Расчет фасадов MAX'!AE264,0)</f>
        <v>Вставки</v>
      </c>
      <c r="L136" s="370"/>
      <c r="M136" s="370"/>
      <c r="N136" s="398"/>
      <c r="O136" s="398"/>
      <c r="P136" s="398"/>
      <c r="Q136" s="398"/>
      <c r="R136" s="398"/>
      <c r="S136" s="398"/>
      <c r="T136" s="398"/>
      <c r="U136" s="398"/>
      <c r="V136" s="398"/>
      <c r="W136" s="398"/>
      <c r="X136" s="398"/>
      <c r="Y136" s="398"/>
      <c r="Z136" s="398"/>
      <c r="AA136" s="398"/>
      <c r="AB136" s="398"/>
      <c r="AC136" s="398"/>
      <c r="AD136" s="398"/>
      <c r="AE136" s="398"/>
      <c r="AF136" s="398"/>
      <c r="AG136" s="398"/>
      <c r="AH136" s="398"/>
      <c r="AI136" s="398"/>
      <c r="AJ136" s="398"/>
    </row>
    <row r="137" spans="1:36" ht="21" x14ac:dyDescent="0.4">
      <c r="B137" s="398"/>
      <c r="C137" s="370">
        <v>6</v>
      </c>
      <c r="D137" s="370" t="str">
        <f>IFERROR('Расчет фасадов MAX'!Y265,0)</f>
        <v>Воздушно-пузырьковая пленка 3-10-115 (1,2*100)</v>
      </c>
      <c r="E137" s="370"/>
      <c r="F137" s="370" t="str">
        <f>IFERROR('Расчет фасадов MAX'!Z265,0)</f>
        <v>3-10-115</v>
      </c>
      <c r="G137" s="370">
        <f>IFERROR('Расчет фасадов MAX'!AC265,0)</f>
        <v>0</v>
      </c>
      <c r="H137" s="370">
        <f>IFERROR('Расчет фасадов MAX'!AD265,0)</f>
        <v>0</v>
      </c>
      <c r="I137" s="370">
        <f>IFERROR('Расчет фасадов MAX'!AB265,0)</f>
        <v>0</v>
      </c>
      <c r="J137" s="370">
        <f>IFERROR('Расчет фасадов MAX'!AA265,0)</f>
        <v>0</v>
      </c>
      <c r="K137" s="370" t="str">
        <f>IFERROR('Расчет фасадов MAX'!AE265,0)</f>
        <v>Полуфабрикаты производимые в процессе</v>
      </c>
      <c r="L137" s="370"/>
      <c r="M137" s="370"/>
      <c r="N137" s="398"/>
      <c r="O137" s="398"/>
      <c r="P137" s="398"/>
      <c r="Q137" s="398"/>
      <c r="R137" s="398"/>
      <c r="S137" s="398"/>
      <c r="T137" s="398"/>
      <c r="U137" s="398"/>
      <c r="V137" s="398"/>
      <c r="W137" s="398"/>
      <c r="X137" s="398"/>
      <c r="Y137" s="398"/>
      <c r="Z137" s="398"/>
      <c r="AA137" s="398"/>
      <c r="AB137" s="398"/>
      <c r="AC137" s="398"/>
      <c r="AD137" s="398"/>
      <c r="AE137" s="398"/>
      <c r="AF137" s="398"/>
      <c r="AG137" s="398"/>
      <c r="AH137" s="398"/>
      <c r="AI137" s="398"/>
      <c r="AJ137" s="398"/>
    </row>
    <row r="138" spans="1:36" ht="21" x14ac:dyDescent="0.4">
      <c r="B138" s="398"/>
      <c r="C138" s="370">
        <v>7</v>
      </c>
      <c r="D138" s="370" t="str">
        <f>IFERROR('Расчет фасадов MAX'!Y266,0)</f>
        <v>Новофлекс П 40-50 (L3100)</v>
      </c>
      <c r="E138" s="370"/>
      <c r="F138" s="370" t="str">
        <f>IFERROR('Расчет фасадов MAX'!Z266,0)</f>
        <v>П 40-50</v>
      </c>
      <c r="G138" s="370">
        <f>IFERROR('Расчет фасадов MAX'!AC266,0)</f>
        <v>0</v>
      </c>
      <c r="H138" s="370">
        <f>IFERROR('Расчет фасадов MAX'!AD266,0)</f>
        <v>0</v>
      </c>
      <c r="I138" s="370">
        <f>IFERROR('Расчет фасадов MAX'!AB266,0)</f>
        <v>0</v>
      </c>
      <c r="J138" s="370">
        <f>IFERROR('Расчет фасадов MAX'!AA266,0)</f>
        <v>0</v>
      </c>
      <c r="K138" s="370" t="str">
        <f>IFERROR('Расчет фасадов MAX'!AE266,0)</f>
        <v>Полуфабрикаты производимые в процессе</v>
      </c>
      <c r="L138" s="370"/>
      <c r="M138" s="370"/>
      <c r="N138" s="398"/>
      <c r="O138" s="398"/>
      <c r="P138" s="398"/>
      <c r="Q138" s="398"/>
      <c r="R138" s="398"/>
      <c r="S138" s="398"/>
      <c r="T138" s="398"/>
      <c r="U138" s="398"/>
      <c r="V138" s="398"/>
      <c r="W138" s="398"/>
      <c r="X138" s="398"/>
      <c r="Y138" s="398"/>
      <c r="Z138" s="398"/>
      <c r="AA138" s="398"/>
      <c r="AB138" s="398"/>
      <c r="AC138" s="398"/>
      <c r="AD138" s="398"/>
      <c r="AE138" s="398"/>
      <c r="AF138" s="398"/>
      <c r="AG138" s="398"/>
      <c r="AH138" s="398"/>
      <c r="AI138" s="398"/>
      <c r="AJ138" s="398"/>
    </row>
    <row r="139" spans="1:36" ht="21" x14ac:dyDescent="0.4">
      <c r="B139" s="398"/>
      <c r="C139" s="370">
        <v>8</v>
      </c>
      <c r="D139" s="370" t="str">
        <f>IFERROR('Расчет фасадов MAX'!Y267,0)</f>
        <v>Стрейч плёнка 500*300 (087.0800.50) первичная</v>
      </c>
      <c r="E139" s="370"/>
      <c r="F139" s="370" t="str">
        <f>IFERROR('Расчет фасадов MAX'!Z267,0)</f>
        <v>087.0800.50</v>
      </c>
      <c r="G139" s="370">
        <f>IFERROR('Расчет фасадов MAX'!AC267,0)</f>
        <v>0</v>
      </c>
      <c r="H139" s="370">
        <f>IFERROR('Расчет фасадов MAX'!AD267,0)</f>
        <v>0</v>
      </c>
      <c r="I139" s="370">
        <f>IFERROR('Расчет фасадов MAX'!AB267,0)</f>
        <v>0</v>
      </c>
      <c r="J139" s="370">
        <f>IFERROR('Расчет фасадов MAX'!AA267,0)</f>
        <v>0</v>
      </c>
      <c r="K139" s="370" t="str">
        <f>IFERROR('Расчет фасадов MAX'!AE267,0)</f>
        <v>Полуфабрикаты производимые в процессе</v>
      </c>
      <c r="L139" s="370"/>
      <c r="M139" s="370"/>
      <c r="N139" s="398"/>
      <c r="O139" s="398"/>
      <c r="P139" s="398"/>
      <c r="Q139" s="398"/>
      <c r="R139" s="398"/>
      <c r="S139" s="398"/>
      <c r="T139" s="398"/>
      <c r="U139" s="398"/>
      <c r="V139" s="398"/>
      <c r="W139" s="398"/>
      <c r="X139" s="398"/>
      <c r="Y139" s="398"/>
      <c r="Z139" s="398"/>
      <c r="AA139" s="398"/>
      <c r="AB139" s="398"/>
      <c r="AC139" s="398"/>
      <c r="AD139" s="398"/>
      <c r="AE139" s="398"/>
      <c r="AF139" s="398"/>
      <c r="AG139" s="398"/>
      <c r="AH139" s="398"/>
      <c r="AI139" s="398"/>
      <c r="AJ139" s="398"/>
    </row>
    <row r="140" spans="1:36" ht="21" x14ac:dyDescent="0.4">
      <c r="B140" s="398"/>
      <c r="C140" s="370">
        <v>9</v>
      </c>
      <c r="D140" s="370" t="str">
        <f>IFERROR('Расчет фасадов MAX'!Y268,0)</f>
        <v>Скотч АРИСТО 2021 06.21</v>
      </c>
      <c r="E140" s="370"/>
      <c r="F140" s="370" t="str">
        <f>IFERROR('Расчет фасадов MAX'!Z268,0)</f>
        <v>ARR-0335</v>
      </c>
      <c r="G140" s="370">
        <f>IFERROR('Расчет фасадов MAX'!AC268,0)</f>
        <v>0</v>
      </c>
      <c r="H140" s="370">
        <f>IFERROR('Расчет фасадов MAX'!AD268,0)</f>
        <v>0</v>
      </c>
      <c r="I140" s="370">
        <f>IFERROR('Расчет фасадов MAX'!AB268,0)</f>
        <v>0</v>
      </c>
      <c r="J140" s="370">
        <f>IFERROR('Расчет фасадов MAX'!AA268,0)</f>
        <v>0</v>
      </c>
      <c r="K140" s="370" t="str">
        <f>IFERROR('Расчет фасадов MAX'!AE268,0)</f>
        <v>Полуфабрикаты производимые в процессе</v>
      </c>
      <c r="L140" s="370"/>
      <c r="M140" s="370"/>
      <c r="N140" s="398"/>
      <c r="O140" s="398"/>
      <c r="P140" s="398"/>
      <c r="Q140" s="398"/>
      <c r="R140" s="398"/>
      <c r="S140" s="398"/>
      <c r="T140" s="398"/>
      <c r="U140" s="398"/>
      <c r="V140" s="398"/>
      <c r="W140" s="398"/>
      <c r="X140" s="398"/>
      <c r="Y140" s="398"/>
      <c r="Z140" s="398"/>
      <c r="AA140" s="398"/>
      <c r="AB140" s="398"/>
      <c r="AC140" s="398"/>
      <c r="AD140" s="398"/>
      <c r="AE140" s="398"/>
      <c r="AF140" s="398"/>
      <c r="AG140" s="398"/>
      <c r="AH140" s="398"/>
      <c r="AI140" s="398"/>
      <c r="AJ140" s="398"/>
    </row>
    <row r="141" spans="1:36" ht="21" x14ac:dyDescent="0.4">
      <c r="B141" s="398"/>
      <c r="C141" s="370">
        <v>10</v>
      </c>
      <c r="D141" s="370" t="str">
        <f>IFERROR('Расчет фасадов MAX'!Y269,0)</f>
        <v>Клейкая лента прозрачная 72мм*45мм*50мкм</v>
      </c>
      <c r="E141" s="370"/>
      <c r="F141" s="370" t="str">
        <f>IFERROR('Расчет фасадов MAX'!Z269,0)</f>
        <v>0800.50</v>
      </c>
      <c r="G141" s="370">
        <f>IFERROR('Расчет фасадов MAX'!AC269,0)</f>
        <v>0</v>
      </c>
      <c r="H141" s="370">
        <f>IFERROR('Расчет фасадов MAX'!AD269,0)</f>
        <v>0</v>
      </c>
      <c r="I141" s="370">
        <f>IFERROR('Расчет фасадов MAX'!AB269,0)</f>
        <v>0</v>
      </c>
      <c r="J141" s="370">
        <f>IFERROR('Расчет фасадов MAX'!AA269,0)</f>
        <v>0</v>
      </c>
      <c r="K141" s="370" t="str">
        <f>IFERROR('Расчет фасадов MAX'!AE269,0)</f>
        <v>Полуфабрикаты производимые в процессе</v>
      </c>
      <c r="L141" s="370"/>
      <c r="M141" s="370"/>
      <c r="N141" s="398"/>
      <c r="O141" s="398"/>
      <c r="P141" s="398"/>
      <c r="Q141" s="398"/>
      <c r="R141" s="398"/>
      <c r="S141" s="398"/>
      <c r="T141" s="398"/>
      <c r="U141" s="398"/>
      <c r="V141" s="398"/>
      <c r="W141" s="398"/>
      <c r="X141" s="398"/>
      <c r="Y141" s="398"/>
      <c r="Z141" s="398"/>
      <c r="AA141" s="398"/>
      <c r="AB141" s="398"/>
      <c r="AC141" s="398"/>
      <c r="AD141" s="398"/>
      <c r="AE141" s="398"/>
      <c r="AF141" s="398"/>
      <c r="AG141" s="398"/>
      <c r="AH141" s="398"/>
      <c r="AI141" s="398"/>
      <c r="AJ141" s="398"/>
    </row>
    <row r="142" spans="1:36" ht="21" x14ac:dyDescent="0.4">
      <c r="B142" s="398"/>
      <c r="C142" s="370">
        <v>11</v>
      </c>
      <c r="D142" s="370" t="str">
        <f>IFERROR('Расчет фасадов MAX'!Y270,0)</f>
        <v>Клейкая ленка "ОСТОРОЖНО! СТЕКЛО"</v>
      </c>
      <c r="E142" s="370"/>
      <c r="F142" s="370" t="str">
        <f>IFERROR('Расчет фасадов MAX'!Z270,0)</f>
        <v>43скл</v>
      </c>
      <c r="G142" s="370">
        <f>IFERROR('Расчет фасадов MAX'!AC270,0)</f>
        <v>0</v>
      </c>
      <c r="H142" s="370">
        <f>IFERROR('Расчет фасадов MAX'!AD270,0)</f>
        <v>0</v>
      </c>
      <c r="I142" s="370">
        <f>IFERROR('Расчет фасадов MAX'!AB270,0)</f>
        <v>0</v>
      </c>
      <c r="J142" s="370">
        <f>IFERROR('Расчет фасадов MAX'!AA270,0)</f>
        <v>1</v>
      </c>
      <c r="K142" s="370" t="str">
        <f>IFERROR('Расчет фасадов MAX'!AE270,0)</f>
        <v>Полуфабрикаты производимые в процессе</v>
      </c>
      <c r="L142" s="370"/>
      <c r="M142" s="370"/>
      <c r="N142" s="398"/>
      <c r="O142" s="398"/>
      <c r="P142" s="398"/>
      <c r="Q142" s="398"/>
      <c r="R142" s="398"/>
      <c r="S142" s="398"/>
      <c r="T142" s="398"/>
      <c r="U142" s="398"/>
      <c r="V142" s="398"/>
      <c r="W142" s="398"/>
      <c r="X142" s="398"/>
      <c r="Y142" s="398"/>
      <c r="Z142" s="398"/>
      <c r="AA142" s="398"/>
      <c r="AB142" s="398"/>
      <c r="AC142" s="398"/>
      <c r="AD142" s="398"/>
      <c r="AE142" s="398"/>
      <c r="AF142" s="398"/>
      <c r="AG142" s="398"/>
      <c r="AH142" s="398"/>
      <c r="AI142" s="398"/>
      <c r="AJ142" s="398"/>
    </row>
    <row r="143" spans="1:36" ht="21" x14ac:dyDescent="0.4">
      <c r="B143" s="398"/>
      <c r="C143" s="370">
        <v>12</v>
      </c>
      <c r="D143" s="370" t="str">
        <f>IFERROR('Расчет фасадов MAX'!Y271,0)</f>
        <v>Пленка-мешок полиэтиленовый 250*700*0,1</v>
      </c>
      <c r="E143" s="370"/>
      <c r="F143" s="370" t="str">
        <f>IFERROR('Расчет фасадов MAX'!Z271,0)</f>
        <v>250*700*0,1</v>
      </c>
      <c r="G143" s="370">
        <f>IFERROR('Расчет фасадов MAX'!AC271,0)</f>
        <v>0</v>
      </c>
      <c r="H143" s="370">
        <f>IFERROR('Расчет фасадов MAX'!AD271,0)</f>
        <v>1</v>
      </c>
      <c r="I143" s="370">
        <f>IFERROR('Расчет фасадов MAX'!AB271,0)</f>
        <v>0</v>
      </c>
      <c r="J143" s="370">
        <f>IFERROR('Расчет фасадов MAX'!AA271,0)</f>
        <v>1</v>
      </c>
      <c r="K143" s="370" t="str">
        <f>IFERROR('Расчет фасадов MAX'!AE271,0)</f>
        <v>Полуфабрикаты производимые в процессе</v>
      </c>
      <c r="L143" s="370"/>
      <c r="M143" s="370"/>
      <c r="N143" s="398"/>
      <c r="O143" s="398"/>
      <c r="P143" s="398"/>
      <c r="Q143" s="398"/>
      <c r="R143" s="398"/>
      <c r="S143" s="398"/>
      <c r="T143" s="398"/>
      <c r="U143" s="398"/>
      <c r="V143" s="398"/>
      <c r="W143" s="398"/>
      <c r="X143" s="398"/>
      <c r="Y143" s="398"/>
      <c r="Z143" s="398"/>
      <c r="AA143" s="398"/>
      <c r="AB143" s="398"/>
      <c r="AC143" s="398"/>
      <c r="AD143" s="398"/>
      <c r="AE143" s="398"/>
      <c r="AF143" s="398"/>
      <c r="AG143" s="398"/>
      <c r="AH143" s="398"/>
      <c r="AI143" s="398"/>
      <c r="AJ143" s="398"/>
    </row>
    <row r="144" spans="1:36" ht="21" x14ac:dyDescent="0.4">
      <c r="B144" s="398"/>
      <c r="C144" s="370">
        <v>13</v>
      </c>
      <c r="D144" s="370">
        <f>IFERROR('Расчет фасадов MAX'!Y272,0)</f>
        <v>0</v>
      </c>
      <c r="E144" s="370"/>
      <c r="F144" s="370">
        <f>IFERROR('Расчет фасадов MAX'!Z272,0)</f>
        <v>0</v>
      </c>
      <c r="G144" s="370">
        <f>IFERROR('Расчет фасадов MAX'!AC272,0)</f>
        <v>0</v>
      </c>
      <c r="H144" s="370">
        <f>IFERROR('Расчет фасадов MAX'!AD272,0)</f>
        <v>0</v>
      </c>
      <c r="I144" s="370">
        <f>IFERROR('Расчет фасадов MAX'!AB272,0)</f>
        <v>0</v>
      </c>
      <c r="J144" s="370">
        <f>IFERROR('Расчет фасадов MAX'!AA272,0)</f>
        <v>0</v>
      </c>
      <c r="K144" s="370" t="str">
        <f>IFERROR('Расчет фасадов MAX'!AE272,0)</f>
        <v>Фурнитура</v>
      </c>
      <c r="L144" s="370"/>
      <c r="M144" s="370"/>
      <c r="N144" s="398"/>
      <c r="O144" s="398"/>
      <c r="P144" s="398"/>
      <c r="Q144" s="398"/>
      <c r="R144" s="398"/>
      <c r="S144" s="398"/>
      <c r="T144" s="398"/>
      <c r="U144" s="398"/>
      <c r="V144" s="398"/>
      <c r="W144" s="398"/>
      <c r="X144" s="398"/>
      <c r="Y144" s="398"/>
      <c r="Z144" s="398"/>
      <c r="AA144" s="398"/>
      <c r="AB144" s="398"/>
      <c r="AC144" s="398"/>
      <c r="AD144" s="398"/>
      <c r="AE144" s="398"/>
      <c r="AF144" s="398"/>
      <c r="AG144" s="398"/>
      <c r="AH144" s="398"/>
      <c r="AI144" s="398"/>
      <c r="AJ144" s="398"/>
    </row>
    <row r="145" spans="1:36" ht="21" x14ac:dyDescent="0.4">
      <c r="B145" s="398"/>
      <c r="C145" s="370">
        <v>14</v>
      </c>
      <c r="D145" s="370">
        <f>IFERROR('Расчет фасадов MAX'!Y273,0)</f>
        <v>0</v>
      </c>
      <c r="E145" s="370"/>
      <c r="F145" s="370">
        <f>IFERROR('Расчет фасадов MAX'!Z273,0)</f>
        <v>0</v>
      </c>
      <c r="G145" s="370">
        <f>IFERROR('Расчет фасадов MAX'!AC273,0)</f>
        <v>0</v>
      </c>
      <c r="H145" s="370">
        <f>IFERROR('Расчет фасадов MAX'!AD273,0)</f>
        <v>0</v>
      </c>
      <c r="I145" s="370">
        <f>IFERROR('Расчет фасадов MAX'!AB273,0)</f>
        <v>0</v>
      </c>
      <c r="J145" s="370">
        <f>IFERROR('Расчет фасадов MAX'!AA273,0)</f>
        <v>0</v>
      </c>
      <c r="K145" s="370" t="str">
        <f>IFERROR('Расчет фасадов MAX'!AE273,0)</f>
        <v>Полуфабрикаты производимые в процессе</v>
      </c>
      <c r="L145" s="370"/>
      <c r="M145" s="370"/>
      <c r="N145" s="398"/>
      <c r="O145" s="398"/>
      <c r="P145" s="398"/>
      <c r="Q145" s="398"/>
      <c r="R145" s="398"/>
      <c r="S145" s="398"/>
      <c r="T145" s="398"/>
      <c r="U145" s="398"/>
      <c r="V145" s="398"/>
      <c r="W145" s="398"/>
      <c r="X145" s="398"/>
      <c r="Y145" s="398"/>
      <c r="Z145" s="398"/>
      <c r="AA145" s="398"/>
      <c r="AB145" s="398"/>
      <c r="AC145" s="398"/>
      <c r="AD145" s="398"/>
      <c r="AE145" s="398"/>
      <c r="AF145" s="398"/>
      <c r="AG145" s="398"/>
      <c r="AH145" s="398"/>
      <c r="AI145" s="398"/>
      <c r="AJ145" s="398"/>
    </row>
    <row r="146" spans="1:36" ht="21.6" thickBot="1" x14ac:dyDescent="0.45">
      <c r="A146" s="245"/>
      <c r="B146" s="400"/>
      <c r="C146" s="373">
        <v>15</v>
      </c>
      <c r="D146" s="373">
        <f>IFERROR('Расчет фасадов MAX'!Y274,0)</f>
        <v>0</v>
      </c>
      <c r="E146" s="373"/>
      <c r="F146" s="373">
        <f>IFERROR('Расчет фасадов MAX'!Z274,0)</f>
        <v>0</v>
      </c>
      <c r="G146" s="373">
        <f>IFERROR('Расчет фасадов MAX'!AC274,0)</f>
        <v>0</v>
      </c>
      <c r="H146" s="373">
        <f>IFERROR('Расчет фасадов MAX'!AD274,0)</f>
        <v>0</v>
      </c>
      <c r="I146" s="373">
        <f>IFERROR('Расчет фасадов MAX'!AB274,0)</f>
        <v>0</v>
      </c>
      <c r="J146" s="373">
        <f>IFERROR('Расчет фасадов MAX'!AA274,0)</f>
        <v>0</v>
      </c>
      <c r="K146" s="373" t="str">
        <f>IFERROR('Расчет фасадов MAX'!AE274,0)</f>
        <v>Фурнитура</v>
      </c>
      <c r="L146" s="373"/>
      <c r="M146" s="373"/>
      <c r="N146" s="400"/>
      <c r="O146" s="400"/>
      <c r="P146" s="400"/>
      <c r="Q146" s="400"/>
      <c r="R146" s="400"/>
      <c r="S146" s="400"/>
      <c r="T146" s="400"/>
      <c r="U146" s="400"/>
      <c r="V146" s="400"/>
      <c r="W146" s="400"/>
      <c r="X146" s="400"/>
      <c r="Y146" s="400"/>
      <c r="Z146" s="400"/>
      <c r="AA146" s="400"/>
      <c r="AB146" s="400"/>
      <c r="AC146" s="400"/>
      <c r="AD146" s="400"/>
      <c r="AE146" s="400"/>
      <c r="AF146" s="400"/>
      <c r="AG146" s="400"/>
      <c r="AH146" s="400"/>
      <c r="AI146" s="400"/>
      <c r="AJ146" s="400"/>
    </row>
    <row r="147" spans="1:36" ht="84" x14ac:dyDescent="0.4">
      <c r="B147" s="388" t="s">
        <v>521</v>
      </c>
      <c r="C147" s="388"/>
      <c r="D147" s="388" t="s">
        <v>2</v>
      </c>
      <c r="E147" s="388" t="s">
        <v>0</v>
      </c>
      <c r="F147" s="388" t="s">
        <v>233</v>
      </c>
      <c r="G147" s="389" t="s">
        <v>558</v>
      </c>
      <c r="H147" s="390" t="s">
        <v>559</v>
      </c>
      <c r="I147" s="391" t="s">
        <v>560</v>
      </c>
      <c r="J147" s="392" t="s">
        <v>149</v>
      </c>
      <c r="K147" s="393" t="s">
        <v>237</v>
      </c>
      <c r="L147" s="394" t="s">
        <v>522</v>
      </c>
      <c r="M147" s="395"/>
      <c r="N147" s="396" t="s">
        <v>14</v>
      </c>
      <c r="O147" s="396" t="s">
        <v>523</v>
      </c>
      <c r="P147" s="396" t="s">
        <v>524</v>
      </c>
      <c r="Q147" s="396" t="s">
        <v>525</v>
      </c>
      <c r="R147" s="396" t="s">
        <v>526</v>
      </c>
      <c r="S147" s="396" t="s">
        <v>527</v>
      </c>
      <c r="T147" s="396" t="s">
        <v>528</v>
      </c>
      <c r="U147" s="396" t="s">
        <v>529</v>
      </c>
      <c r="V147" s="396" t="s">
        <v>530</v>
      </c>
      <c r="W147" s="396" t="s">
        <v>531</v>
      </c>
      <c r="X147" s="396" t="s">
        <v>532</v>
      </c>
      <c r="Y147" s="397" t="s">
        <v>533</v>
      </c>
      <c r="Z147" s="396" t="s">
        <v>534</v>
      </c>
      <c r="AA147" s="396" t="s">
        <v>535</v>
      </c>
      <c r="AB147" s="396" t="s">
        <v>536</v>
      </c>
      <c r="AC147" s="396" t="s">
        <v>537</v>
      </c>
      <c r="AD147" s="396" t="s">
        <v>538</v>
      </c>
      <c r="AE147" s="396" t="s">
        <v>539</v>
      </c>
      <c r="AF147" s="396" t="s">
        <v>540</v>
      </c>
      <c r="AG147" s="396" t="s">
        <v>541</v>
      </c>
      <c r="AH147" s="396" t="s">
        <v>542</v>
      </c>
      <c r="AI147" s="396" t="s">
        <v>543</v>
      </c>
      <c r="AJ147" s="396" t="s">
        <v>379</v>
      </c>
    </row>
    <row r="148" spans="1:36" ht="21" x14ac:dyDescent="0.4">
      <c r="A148" t="str">
        <f>IF('Фасады EDGE MAX'!$X$35&gt;0, "ВФасад", "Пусто")</f>
        <v>Пусто</v>
      </c>
      <c r="B148" s="662" t="s">
        <v>557</v>
      </c>
      <c r="C148" s="367">
        <v>1</v>
      </c>
      <c r="D148" s="367" t="str">
        <f>IFERROR('Расчет фасадов MAX'!Y292,0)</f>
        <v>Фасад, Рамочный узкий профиль</v>
      </c>
      <c r="E148" s="367"/>
      <c r="F148" s="367">
        <f>IFERROR('Расчет фасадов MAX'!Z292,0)</f>
        <v>0</v>
      </c>
      <c r="G148" s="367" t="str">
        <f>IFERROR('Расчет фасадов MAX'!AC292,0)</f>
        <v>0мм-0шт</v>
      </c>
      <c r="H148" s="368">
        <f>IFERROR('Расчет фасадов MAX'!AD292,0)</f>
        <v>0</v>
      </c>
      <c r="I148" s="367">
        <f>IFERROR('Расчет фасадов MAX'!AB292,0)</f>
        <v>0</v>
      </c>
      <c r="J148" s="369">
        <f>IFERROR('Расчет фасадов MAX'!AA292,0)</f>
        <v>0</v>
      </c>
      <c r="K148" s="367" t="str">
        <f>IFERROR('Расчет фасадов MAX'!AE292,0)</f>
        <v>Полуфабрикаты производимые в процессе</v>
      </c>
      <c r="L148" s="367"/>
      <c r="M148" s="367"/>
      <c r="N148" s="398" t="s">
        <v>544</v>
      </c>
      <c r="O148" s="398" t="s">
        <v>545</v>
      </c>
      <c r="P148" s="399" t="str">
        <f>IFERROR('Расчет фасадов MAX'!$B$297,0)</f>
        <v>.</v>
      </c>
      <c r="Q148" s="398"/>
      <c r="R148" s="398"/>
      <c r="S148" s="398"/>
      <c r="T148" s="398"/>
      <c r="U148" s="398"/>
      <c r="V148" s="398" t="s">
        <v>546</v>
      </c>
      <c r="W148" s="398" t="s">
        <v>546</v>
      </c>
      <c r="X148" s="398" t="s">
        <v>547</v>
      </c>
      <c r="Y148" s="398" t="s">
        <v>361</v>
      </c>
      <c r="Z148" s="398"/>
      <c r="AA148" s="398">
        <f>'Фасады EDGE MAX'!$C$35</f>
        <v>0</v>
      </c>
      <c r="AB148" s="398" t="s">
        <v>557</v>
      </c>
      <c r="AC148" s="398">
        <f>'Фасады EDGE MAX'!$G$35</f>
        <v>0</v>
      </c>
      <c r="AD148" s="398">
        <f>'Фасады EDGE MAX'!$I$35</f>
        <v>0</v>
      </c>
      <c r="AE148" s="398"/>
      <c r="AF148" s="398"/>
      <c r="AG148" s="398"/>
      <c r="AH148" s="398"/>
      <c r="AI148" s="398"/>
      <c r="AJ148" s="399">
        <f>'Фасады EDGE MAX'!$W$35</f>
        <v>0</v>
      </c>
    </row>
    <row r="149" spans="1:36" ht="21" x14ac:dyDescent="0.4">
      <c r="B149" s="662"/>
      <c r="C149" s="370">
        <v>2</v>
      </c>
      <c r="D149" s="370" t="str">
        <f>IFERROR('Расчет фасадов MAX'!Y293,0)</f>
        <v>Фасад, Рамочный узкий профиль</v>
      </c>
      <c r="E149" s="370"/>
      <c r="F149" s="370">
        <f>IFERROR('Расчет фасадов MAX'!Z293,0)</f>
        <v>0</v>
      </c>
      <c r="G149" s="370" t="str">
        <f>IFERROR('Расчет фасадов MAX'!AC293,0)</f>
        <v>0мм-0шт</v>
      </c>
      <c r="H149" s="370">
        <f>IFERROR('Расчет фасадов MAX'!AD293,0)</f>
        <v>0</v>
      </c>
      <c r="I149" s="370">
        <f>IFERROR('Расчет фасадов MAX'!AB293,0)</f>
        <v>0</v>
      </c>
      <c r="J149" s="370">
        <f>IFERROR('Расчет фасадов MAX'!AA293,0)</f>
        <v>0</v>
      </c>
      <c r="K149" s="370" t="str">
        <f>IFERROR('Расчет фасадов MAX'!AE293,0)</f>
        <v>Полуфабрикаты производимые в процессе</v>
      </c>
      <c r="L149" s="370"/>
      <c r="M149" s="370"/>
      <c r="N149" s="398"/>
      <c r="O149" s="398"/>
      <c r="P149" s="398"/>
      <c r="Q149" s="398"/>
      <c r="R149" s="398"/>
      <c r="S149" s="398"/>
      <c r="T149" s="398"/>
      <c r="U149" s="398"/>
      <c r="V149" s="398"/>
      <c r="W149" s="398"/>
      <c r="X149" s="398"/>
      <c r="Y149" s="398"/>
      <c r="Z149" s="398"/>
      <c r="AA149" s="398"/>
      <c r="AB149" s="398"/>
      <c r="AC149" s="398"/>
      <c r="AD149" s="398"/>
      <c r="AE149" s="398"/>
      <c r="AF149" s="398"/>
      <c r="AG149" s="398"/>
      <c r="AH149" s="398"/>
      <c r="AI149" s="398"/>
      <c r="AJ149" s="398"/>
    </row>
    <row r="150" spans="1:36" ht="21" x14ac:dyDescent="0.4">
      <c r="B150" s="398"/>
      <c r="C150" s="370">
        <v>3</v>
      </c>
      <c r="D150" s="370" t="str">
        <f>IFERROR('Расчет фасадов MAX'!Y294,0)</f>
        <v>Фасад, Рамочный узкий профиль</v>
      </c>
      <c r="E150" s="370"/>
      <c r="F150" s="370">
        <f>IFERROR('Расчет фасадов MAX'!Z294,0)</f>
        <v>0</v>
      </c>
      <c r="G150" s="370" t="str">
        <f>IFERROR('Расчет фасадов MAX'!AC294,0)</f>
        <v>0мм-0шт</v>
      </c>
      <c r="H150" s="370">
        <f>IFERROR('Расчет фасадов MAX'!AD294,0)</f>
        <v>0</v>
      </c>
      <c r="I150" s="370">
        <f>IFERROR('Расчет фасадов MAX'!AB294,0)</f>
        <v>0</v>
      </c>
      <c r="J150" s="370">
        <f>IFERROR('Расчет фасадов MAX'!AA294,0)</f>
        <v>0</v>
      </c>
      <c r="K150" s="370" t="str">
        <f>IFERROR('Расчет фасадов MAX'!AE294,0)</f>
        <v>Полуфабрикаты производимые в процессе</v>
      </c>
      <c r="L150" s="370"/>
      <c r="M150" s="370"/>
      <c r="N150" s="398"/>
      <c r="O150" s="398"/>
      <c r="P150" s="398"/>
      <c r="Q150" s="398"/>
      <c r="R150" s="398"/>
      <c r="S150" s="398"/>
      <c r="T150" s="398"/>
      <c r="U150" s="398"/>
      <c r="V150" s="398"/>
      <c r="W150" s="398"/>
      <c r="X150" s="398"/>
      <c r="Y150" s="398"/>
      <c r="Z150" s="398"/>
      <c r="AA150" s="398"/>
      <c r="AB150" s="398"/>
      <c r="AC150" s="398"/>
      <c r="AD150" s="398"/>
      <c r="AE150" s="398"/>
      <c r="AF150" s="398"/>
      <c r="AG150" s="398"/>
      <c r="AH150" s="398"/>
      <c r="AI150" s="398"/>
      <c r="AJ150" s="398"/>
    </row>
    <row r="151" spans="1:36" ht="21" x14ac:dyDescent="0.4">
      <c r="B151" s="398"/>
      <c r="C151" s="370">
        <v>4</v>
      </c>
      <c r="D151" s="370" t="str">
        <f>IFERROR('Расчет фасадов MAX'!Y295,0)</f>
        <v>Фасад, Рамочный узкий профиль</v>
      </c>
      <c r="E151" s="370"/>
      <c r="F151" s="370">
        <f>IFERROR('Расчет фасадов MAX'!Z295,0)</f>
        <v>0</v>
      </c>
      <c r="G151" s="370" t="str">
        <f>IFERROR('Расчет фасадов MAX'!AC295,0)</f>
        <v>0мм-0шт</v>
      </c>
      <c r="H151" s="370">
        <f>IFERROR('Расчет фасадов MAX'!AD295,0)</f>
        <v>0</v>
      </c>
      <c r="I151" s="370">
        <f>IFERROR('Расчет фасадов MAX'!AB295,0)</f>
        <v>0</v>
      </c>
      <c r="J151" s="370">
        <f>IFERROR('Расчет фасадов MAX'!AA295,0)</f>
        <v>0</v>
      </c>
      <c r="K151" s="370" t="str">
        <f>IFERROR('Расчет фасадов MAX'!AE295,0)</f>
        <v>Полуфабрикаты производимые в процессе</v>
      </c>
      <c r="L151" s="370"/>
      <c r="M151" s="370"/>
      <c r="N151" s="398"/>
      <c r="O151" s="398"/>
      <c r="P151" s="398"/>
      <c r="Q151" s="398"/>
      <c r="R151" s="398"/>
      <c r="S151" s="398"/>
      <c r="T151" s="398"/>
      <c r="U151" s="398"/>
      <c r="V151" s="398"/>
      <c r="W151" s="398"/>
      <c r="X151" s="398"/>
      <c r="Y151" s="398"/>
      <c r="Z151" s="398"/>
      <c r="AA151" s="398"/>
      <c r="AB151" s="398"/>
      <c r="AC151" s="398"/>
      <c r="AD151" s="398"/>
      <c r="AE151" s="398"/>
      <c r="AF151" s="398"/>
      <c r="AG151" s="398"/>
      <c r="AH151" s="398"/>
      <c r="AI151" s="398"/>
      <c r="AJ151" s="398"/>
    </row>
    <row r="152" spans="1:36" ht="21" x14ac:dyDescent="0.4">
      <c r="B152" s="398"/>
      <c r="C152" s="370">
        <v>5</v>
      </c>
      <c r="D152" s="370">
        <f>IFERROR('Расчет фасадов MAX'!Y296,0)</f>
        <v>0</v>
      </c>
      <c r="E152" s="370"/>
      <c r="F152" s="370" t="str">
        <f>IFERROR('Расчет фасадов MAX'!Z296,0)</f>
        <v>.</v>
      </c>
      <c r="G152" s="370">
        <f>IFERROR('Расчет фасадов MAX'!AC296,0)</f>
        <v>0</v>
      </c>
      <c r="H152" s="370">
        <f>IFERROR('Расчет фасадов MAX'!AD296,0)</f>
        <v>0</v>
      </c>
      <c r="I152" s="370" t="str">
        <f>IFERROR('Расчет фасадов MAX'!AB296,0)</f>
        <v>В -6, Ш -6</v>
      </c>
      <c r="J152" s="370">
        <f>IFERROR('Расчет фасадов MAX'!AA296,0)</f>
        <v>0</v>
      </c>
      <c r="K152" s="370" t="str">
        <f>IFERROR('Расчет фасадов MAX'!AE296,0)</f>
        <v>Вставки</v>
      </c>
      <c r="L152" s="370"/>
      <c r="M152" s="370"/>
      <c r="N152" s="398"/>
      <c r="O152" s="398"/>
      <c r="P152" s="398"/>
      <c r="Q152" s="398"/>
      <c r="R152" s="398"/>
      <c r="S152" s="398"/>
      <c r="T152" s="398"/>
      <c r="U152" s="398"/>
      <c r="V152" s="398"/>
      <c r="W152" s="398"/>
      <c r="X152" s="398"/>
      <c r="Y152" s="398"/>
      <c r="Z152" s="398"/>
      <c r="AA152" s="398"/>
      <c r="AB152" s="398"/>
      <c r="AC152" s="398"/>
      <c r="AD152" s="398"/>
      <c r="AE152" s="398"/>
      <c r="AF152" s="398"/>
      <c r="AG152" s="398"/>
      <c r="AH152" s="398"/>
      <c r="AI152" s="398"/>
      <c r="AJ152" s="398"/>
    </row>
    <row r="153" spans="1:36" ht="21" x14ac:dyDescent="0.4">
      <c r="B153" s="398"/>
      <c r="C153" s="370">
        <v>6</v>
      </c>
      <c r="D153" s="370" t="str">
        <f>IFERROR('Расчет фасадов MAX'!Y297,0)</f>
        <v>Воздушно-пузырьковая пленка 3-10-115 (1,2*100)</v>
      </c>
      <c r="E153" s="370"/>
      <c r="F153" s="370" t="str">
        <f>IFERROR('Расчет фасадов MAX'!Z297,0)</f>
        <v>3-10-115</v>
      </c>
      <c r="G153" s="370">
        <f>IFERROR('Расчет фасадов MAX'!AC297,0)</f>
        <v>0</v>
      </c>
      <c r="H153" s="370">
        <f>IFERROR('Расчет фасадов MAX'!AD297,0)</f>
        <v>0</v>
      </c>
      <c r="I153" s="370">
        <f>IFERROR('Расчет фасадов MAX'!AB297,0)</f>
        <v>0</v>
      </c>
      <c r="J153" s="370">
        <f>IFERROR('Расчет фасадов MAX'!AA297,0)</f>
        <v>0</v>
      </c>
      <c r="K153" s="370" t="str">
        <f>IFERROR('Расчет фасадов MAX'!AE297,0)</f>
        <v>Полуфабрикаты производимые в процессе</v>
      </c>
      <c r="L153" s="370"/>
      <c r="M153" s="370"/>
      <c r="N153" s="398"/>
      <c r="O153" s="398"/>
      <c r="P153" s="398"/>
      <c r="Q153" s="398"/>
      <c r="R153" s="398"/>
      <c r="S153" s="398"/>
      <c r="T153" s="398"/>
      <c r="U153" s="398"/>
      <c r="V153" s="398"/>
      <c r="W153" s="398"/>
      <c r="X153" s="398"/>
      <c r="Y153" s="398"/>
      <c r="Z153" s="398"/>
      <c r="AA153" s="398"/>
      <c r="AB153" s="398"/>
      <c r="AC153" s="398"/>
      <c r="AD153" s="398"/>
      <c r="AE153" s="398"/>
      <c r="AF153" s="398"/>
      <c r="AG153" s="398"/>
      <c r="AH153" s="398"/>
      <c r="AI153" s="398"/>
      <c r="AJ153" s="398"/>
    </row>
    <row r="154" spans="1:36" ht="21" x14ac:dyDescent="0.4">
      <c r="B154" s="398"/>
      <c r="C154" s="370">
        <v>7</v>
      </c>
      <c r="D154" s="370" t="str">
        <f>IFERROR('Расчет фасадов MAX'!Y298,0)</f>
        <v>Новофлекс П 40-50 (L3100)</v>
      </c>
      <c r="E154" s="370"/>
      <c r="F154" s="370" t="str">
        <f>IFERROR('Расчет фасадов MAX'!Z298,0)</f>
        <v>П 40-50</v>
      </c>
      <c r="G154" s="370">
        <f>IFERROR('Расчет фасадов MAX'!AC298,0)</f>
        <v>0</v>
      </c>
      <c r="H154" s="370">
        <f>IFERROR('Расчет фасадов MAX'!AD298,0)</f>
        <v>0</v>
      </c>
      <c r="I154" s="370">
        <f>IFERROR('Расчет фасадов MAX'!AB298,0)</f>
        <v>0</v>
      </c>
      <c r="J154" s="370">
        <f>IFERROR('Расчет фасадов MAX'!AA298,0)</f>
        <v>0</v>
      </c>
      <c r="K154" s="370" t="str">
        <f>IFERROR('Расчет фасадов MAX'!AE298,0)</f>
        <v>Полуфабрикаты производимые в процессе</v>
      </c>
      <c r="L154" s="370"/>
      <c r="M154" s="370"/>
      <c r="N154" s="398"/>
      <c r="O154" s="398"/>
      <c r="P154" s="398"/>
      <c r="Q154" s="398"/>
      <c r="R154" s="398"/>
      <c r="S154" s="398"/>
      <c r="T154" s="398"/>
      <c r="U154" s="398"/>
      <c r="V154" s="398"/>
      <c r="W154" s="398"/>
      <c r="X154" s="398"/>
      <c r="Y154" s="398"/>
      <c r="Z154" s="398"/>
      <c r="AA154" s="398"/>
      <c r="AB154" s="398"/>
      <c r="AC154" s="398"/>
      <c r="AD154" s="398"/>
      <c r="AE154" s="398"/>
      <c r="AF154" s="398"/>
      <c r="AG154" s="398"/>
      <c r="AH154" s="398"/>
      <c r="AI154" s="398"/>
      <c r="AJ154" s="398"/>
    </row>
    <row r="155" spans="1:36" ht="21" x14ac:dyDescent="0.4">
      <c r="B155" s="398"/>
      <c r="C155" s="370">
        <v>8</v>
      </c>
      <c r="D155" s="370" t="str">
        <f>IFERROR('Расчет фасадов MAX'!Y299,0)</f>
        <v>Стрейч плёнка 500*300 (087.0800.50) первичная</v>
      </c>
      <c r="E155" s="370"/>
      <c r="F155" s="370" t="str">
        <f>IFERROR('Расчет фасадов MAX'!Z299,0)</f>
        <v>087.0800.50</v>
      </c>
      <c r="G155" s="370">
        <f>IFERROR('Расчет фасадов MAX'!AC299,0)</f>
        <v>0</v>
      </c>
      <c r="H155" s="370">
        <f>IFERROR('Расчет фасадов MAX'!AD299,0)</f>
        <v>0</v>
      </c>
      <c r="I155" s="370">
        <f>IFERROR('Расчет фасадов MAX'!AB299,0)</f>
        <v>0</v>
      </c>
      <c r="J155" s="370">
        <f>IFERROR('Расчет фасадов MAX'!AA299,0)</f>
        <v>0</v>
      </c>
      <c r="K155" s="370" t="str">
        <f>IFERROR('Расчет фасадов MAX'!AE299,0)</f>
        <v>Полуфабрикаты производимые в процессе</v>
      </c>
      <c r="L155" s="370"/>
      <c r="M155" s="370"/>
      <c r="N155" s="398"/>
      <c r="O155" s="398"/>
      <c r="P155" s="398"/>
      <c r="Q155" s="398"/>
      <c r="R155" s="398"/>
      <c r="S155" s="398"/>
      <c r="T155" s="398"/>
      <c r="U155" s="398"/>
      <c r="V155" s="398"/>
      <c r="W155" s="398"/>
      <c r="X155" s="398"/>
      <c r="Y155" s="398"/>
      <c r="Z155" s="398"/>
      <c r="AA155" s="398"/>
      <c r="AB155" s="398"/>
      <c r="AC155" s="398"/>
      <c r="AD155" s="398"/>
      <c r="AE155" s="398"/>
      <c r="AF155" s="398"/>
      <c r="AG155" s="398"/>
      <c r="AH155" s="398"/>
      <c r="AI155" s="398"/>
      <c r="AJ155" s="398"/>
    </row>
    <row r="156" spans="1:36" ht="21" x14ac:dyDescent="0.4">
      <c r="B156" s="398"/>
      <c r="C156" s="370">
        <v>9</v>
      </c>
      <c r="D156" s="370" t="str">
        <f>IFERROR('Расчет фасадов MAX'!Y300,0)</f>
        <v>Скотч АРИСТО 2021 06.21</v>
      </c>
      <c r="E156" s="370"/>
      <c r="F156" s="370" t="str">
        <f>IFERROR('Расчет фасадов MAX'!Z300,0)</f>
        <v>ARR-0335</v>
      </c>
      <c r="G156" s="370">
        <f>IFERROR('Расчет фасадов MAX'!AC300,0)</f>
        <v>0</v>
      </c>
      <c r="H156" s="370">
        <f>IFERROR('Расчет фасадов MAX'!AD300,0)</f>
        <v>0</v>
      </c>
      <c r="I156" s="370">
        <f>IFERROR('Расчет фасадов MAX'!AB300,0)</f>
        <v>0</v>
      </c>
      <c r="J156" s="370">
        <f>IFERROR('Расчет фасадов MAX'!AA300,0)</f>
        <v>0</v>
      </c>
      <c r="K156" s="370" t="str">
        <f>IFERROR('Расчет фасадов MAX'!AE300,0)</f>
        <v>Полуфабрикаты производимые в процессе</v>
      </c>
      <c r="L156" s="370"/>
      <c r="M156" s="370"/>
      <c r="N156" s="398"/>
      <c r="O156" s="398"/>
      <c r="P156" s="398"/>
      <c r="Q156" s="398"/>
      <c r="R156" s="398"/>
      <c r="S156" s="398"/>
      <c r="T156" s="398"/>
      <c r="U156" s="398"/>
      <c r="V156" s="398"/>
      <c r="W156" s="398"/>
      <c r="X156" s="398"/>
      <c r="Y156" s="398"/>
      <c r="Z156" s="398"/>
      <c r="AA156" s="398"/>
      <c r="AB156" s="398"/>
      <c r="AC156" s="398"/>
      <c r="AD156" s="398"/>
      <c r="AE156" s="398"/>
      <c r="AF156" s="398"/>
      <c r="AG156" s="398"/>
      <c r="AH156" s="398"/>
      <c r="AI156" s="398"/>
      <c r="AJ156" s="398"/>
    </row>
    <row r="157" spans="1:36" ht="21" x14ac:dyDescent="0.4">
      <c r="B157" s="398"/>
      <c r="C157" s="370">
        <v>10</v>
      </c>
      <c r="D157" s="370" t="str">
        <f>IFERROR('Расчет фасадов MAX'!Y301,0)</f>
        <v>Клейкая лента прозрачная 72мм*45мм*50мкм</v>
      </c>
      <c r="E157" s="370"/>
      <c r="F157" s="370" t="str">
        <f>IFERROR('Расчет фасадов MAX'!Z301,0)</f>
        <v>0800.50</v>
      </c>
      <c r="G157" s="370">
        <f>IFERROR('Расчет фасадов MAX'!AC301,0)</f>
        <v>0</v>
      </c>
      <c r="H157" s="370">
        <f>IFERROR('Расчет фасадов MAX'!AD301,0)</f>
        <v>0</v>
      </c>
      <c r="I157" s="370">
        <f>IFERROR('Расчет фасадов MAX'!AB301,0)</f>
        <v>0</v>
      </c>
      <c r="J157" s="370">
        <f>IFERROR('Расчет фасадов MAX'!AA301,0)</f>
        <v>0</v>
      </c>
      <c r="K157" s="370" t="str">
        <f>IFERROR('Расчет фасадов MAX'!AE301,0)</f>
        <v>Полуфабрикаты производимые в процессе</v>
      </c>
      <c r="L157" s="370"/>
      <c r="M157" s="370"/>
      <c r="N157" s="398"/>
      <c r="O157" s="398"/>
      <c r="P157" s="398"/>
      <c r="Q157" s="398"/>
      <c r="R157" s="398"/>
      <c r="S157" s="398"/>
      <c r="T157" s="398"/>
      <c r="U157" s="398"/>
      <c r="V157" s="398"/>
      <c r="W157" s="398"/>
      <c r="X157" s="398"/>
      <c r="Y157" s="398"/>
      <c r="Z157" s="398"/>
      <c r="AA157" s="398"/>
      <c r="AB157" s="398"/>
      <c r="AC157" s="398"/>
      <c r="AD157" s="398"/>
      <c r="AE157" s="398"/>
      <c r="AF157" s="398"/>
      <c r="AG157" s="398"/>
      <c r="AH157" s="398"/>
      <c r="AI157" s="398"/>
      <c r="AJ157" s="398"/>
    </row>
    <row r="158" spans="1:36" ht="21" x14ac:dyDescent="0.4">
      <c r="B158" s="398"/>
      <c r="C158" s="370">
        <v>11</v>
      </c>
      <c r="D158" s="370" t="str">
        <f>IFERROR('Расчет фасадов MAX'!Y302,0)</f>
        <v>Клейкая ленка "ОСТОРОЖНО! СТЕКЛО"</v>
      </c>
      <c r="E158" s="370"/>
      <c r="F158" s="370" t="str">
        <f>IFERROR('Расчет фасадов MAX'!Z302,0)</f>
        <v>43скл</v>
      </c>
      <c r="G158" s="370">
        <f>IFERROR('Расчет фасадов MAX'!AC302,0)</f>
        <v>0</v>
      </c>
      <c r="H158" s="370">
        <f>IFERROR('Расчет фасадов MAX'!AD302,0)</f>
        <v>0</v>
      </c>
      <c r="I158" s="370">
        <f>IFERROR('Расчет фасадов MAX'!AB302,0)</f>
        <v>0</v>
      </c>
      <c r="J158" s="370">
        <f>IFERROR('Расчет фасадов MAX'!AA302,0)</f>
        <v>1</v>
      </c>
      <c r="K158" s="370" t="str">
        <f>IFERROR('Расчет фасадов MAX'!AE302,0)</f>
        <v>Полуфабрикаты производимые в процессе</v>
      </c>
      <c r="L158" s="370"/>
      <c r="M158" s="370"/>
      <c r="N158" s="398"/>
      <c r="O158" s="398"/>
      <c r="P158" s="398"/>
      <c r="Q158" s="398"/>
      <c r="R158" s="398"/>
      <c r="S158" s="398"/>
      <c r="T158" s="398"/>
      <c r="U158" s="398"/>
      <c r="V158" s="398"/>
      <c r="W158" s="398"/>
      <c r="X158" s="398"/>
      <c r="Y158" s="398"/>
      <c r="Z158" s="398"/>
      <c r="AA158" s="398"/>
      <c r="AB158" s="398"/>
      <c r="AC158" s="398"/>
      <c r="AD158" s="398"/>
      <c r="AE158" s="398"/>
      <c r="AF158" s="398"/>
      <c r="AG158" s="398"/>
      <c r="AH158" s="398"/>
      <c r="AI158" s="398"/>
      <c r="AJ158" s="398"/>
    </row>
    <row r="159" spans="1:36" ht="21" x14ac:dyDescent="0.4">
      <c r="B159" s="398"/>
      <c r="C159" s="370">
        <v>12</v>
      </c>
      <c r="D159" s="370" t="str">
        <f>IFERROR('Расчет фасадов MAX'!Y303,0)</f>
        <v>Пленка-мешок полиэтиленовый 250*700*0,1</v>
      </c>
      <c r="E159" s="370"/>
      <c r="F159" s="370" t="str">
        <f>IFERROR('Расчет фасадов MAX'!Z303,0)</f>
        <v>250*700*0,1</v>
      </c>
      <c r="G159" s="370">
        <f>IFERROR('Расчет фасадов MAX'!AC303,0)</f>
        <v>0</v>
      </c>
      <c r="H159" s="370">
        <f>IFERROR('Расчет фасадов MAX'!AD303,0)</f>
        <v>1</v>
      </c>
      <c r="I159" s="370">
        <f>IFERROR('Расчет фасадов MAX'!AB303,0)</f>
        <v>0</v>
      </c>
      <c r="J159" s="370">
        <f>IFERROR('Расчет фасадов MAX'!AA303,0)</f>
        <v>1</v>
      </c>
      <c r="K159" s="370" t="str">
        <f>IFERROR('Расчет фасадов MAX'!AE303,0)</f>
        <v>Полуфабрикаты производимые в процессе</v>
      </c>
      <c r="L159" s="370"/>
      <c r="M159" s="370"/>
      <c r="N159" s="398"/>
      <c r="O159" s="398"/>
      <c r="P159" s="398"/>
      <c r="Q159" s="398"/>
      <c r="R159" s="398"/>
      <c r="S159" s="398"/>
      <c r="T159" s="398"/>
      <c r="U159" s="398"/>
      <c r="V159" s="398"/>
      <c r="W159" s="398"/>
      <c r="X159" s="398"/>
      <c r="Y159" s="398"/>
      <c r="Z159" s="398"/>
      <c r="AA159" s="398"/>
      <c r="AB159" s="398"/>
      <c r="AC159" s="398"/>
      <c r="AD159" s="398"/>
      <c r="AE159" s="398"/>
      <c r="AF159" s="398"/>
      <c r="AG159" s="398"/>
      <c r="AH159" s="398"/>
      <c r="AI159" s="398"/>
      <c r="AJ159" s="398"/>
    </row>
    <row r="160" spans="1:36" ht="21" x14ac:dyDescent="0.4">
      <c r="B160" s="398"/>
      <c r="C160" s="370">
        <v>13</v>
      </c>
      <c r="D160" s="370">
        <f>IFERROR('Расчет фасадов MAX'!Y304,0)</f>
        <v>0</v>
      </c>
      <c r="E160" s="370"/>
      <c r="F160" s="370">
        <f>IFERROR('Расчет фасадов MAX'!Z304,0)</f>
        <v>0</v>
      </c>
      <c r="G160" s="370">
        <f>IFERROR('Расчет фасадов MAX'!AC304,0)</f>
        <v>0</v>
      </c>
      <c r="H160" s="370">
        <f>IFERROR('Расчет фасадов MAX'!AD304,0)</f>
        <v>0</v>
      </c>
      <c r="I160" s="370">
        <f>IFERROR('Расчет фасадов MAX'!AB304,0)</f>
        <v>0</v>
      </c>
      <c r="J160" s="370">
        <f>IFERROR('Расчет фасадов MAX'!AA304,0)</f>
        <v>0</v>
      </c>
      <c r="K160" s="370" t="str">
        <f>IFERROR('Расчет фасадов MAX'!AE304,0)</f>
        <v>Фурнитура</v>
      </c>
      <c r="L160" s="370"/>
      <c r="M160" s="370"/>
      <c r="N160" s="398"/>
      <c r="O160" s="398"/>
      <c r="P160" s="398"/>
      <c r="Q160" s="398"/>
      <c r="R160" s="398"/>
      <c r="S160" s="398"/>
      <c r="T160" s="398"/>
      <c r="U160" s="398"/>
      <c r="V160" s="398"/>
      <c r="W160" s="398"/>
      <c r="X160" s="398"/>
      <c r="Y160" s="398"/>
      <c r="Z160" s="398"/>
      <c r="AA160" s="398"/>
      <c r="AB160" s="398"/>
      <c r="AC160" s="398"/>
      <c r="AD160" s="398"/>
      <c r="AE160" s="398"/>
      <c r="AF160" s="398"/>
      <c r="AG160" s="398"/>
      <c r="AH160" s="398"/>
      <c r="AI160" s="398"/>
      <c r="AJ160" s="398"/>
    </row>
    <row r="161" spans="1:36" ht="21" x14ac:dyDescent="0.4">
      <c r="B161" s="398"/>
      <c r="C161" s="370">
        <v>14</v>
      </c>
      <c r="D161" s="370">
        <f>IFERROR('Расчет фасадов MAX'!Y305,0)</f>
        <v>0</v>
      </c>
      <c r="E161" s="370"/>
      <c r="F161" s="370">
        <f>IFERROR('Расчет фасадов MAX'!Z305,0)</f>
        <v>0</v>
      </c>
      <c r="G161" s="370">
        <f>IFERROR('Расчет фасадов MAX'!AC305,0)</f>
        <v>0</v>
      </c>
      <c r="H161" s="370">
        <f>IFERROR('Расчет фасадов MAX'!AD305,0)</f>
        <v>0</v>
      </c>
      <c r="I161" s="370">
        <f>IFERROR('Расчет фасадов MAX'!AB305,0)</f>
        <v>0</v>
      </c>
      <c r="J161" s="370">
        <f>IFERROR('Расчет фасадов MAX'!AA305,0)</f>
        <v>0</v>
      </c>
      <c r="K161" s="370" t="str">
        <f>IFERROR('Расчет фасадов MAX'!AE305,0)</f>
        <v>Полуфабрикаты производимые в процессе</v>
      </c>
      <c r="L161" s="370"/>
      <c r="M161" s="370"/>
      <c r="N161" s="398"/>
      <c r="O161" s="398"/>
      <c r="P161" s="398"/>
      <c r="Q161" s="398"/>
      <c r="R161" s="398"/>
      <c r="S161" s="398"/>
      <c r="T161" s="398"/>
      <c r="U161" s="398"/>
      <c r="V161" s="398"/>
      <c r="W161" s="398"/>
      <c r="X161" s="398"/>
      <c r="Y161" s="398"/>
      <c r="Z161" s="398"/>
      <c r="AA161" s="398"/>
      <c r="AB161" s="398"/>
      <c r="AC161" s="398"/>
      <c r="AD161" s="398"/>
      <c r="AE161" s="398"/>
      <c r="AF161" s="398"/>
      <c r="AG161" s="398"/>
      <c r="AH161" s="398"/>
      <c r="AI161" s="398"/>
      <c r="AJ161" s="398"/>
    </row>
    <row r="162" spans="1:36" ht="21.6" thickBot="1" x14ac:dyDescent="0.45">
      <c r="A162" s="245"/>
      <c r="B162" s="400"/>
      <c r="C162" s="373">
        <v>15</v>
      </c>
      <c r="D162" s="373">
        <f>IFERROR('Расчет фасадов MAX'!Y306,0)</f>
        <v>0</v>
      </c>
      <c r="E162" s="373"/>
      <c r="F162" s="373">
        <f>IFERROR('Расчет фасадов MAX'!Z306,0)</f>
        <v>0</v>
      </c>
      <c r="G162" s="373">
        <f>IFERROR('Расчет фасадов MAX'!AC306,0)</f>
        <v>0</v>
      </c>
      <c r="H162" s="373">
        <f>IFERROR('Расчет фасадов MAX'!AD306,0)</f>
        <v>0</v>
      </c>
      <c r="I162" s="373">
        <f>IFERROR('Расчет фасадов MAX'!AB306,0)</f>
        <v>0</v>
      </c>
      <c r="J162" s="373">
        <f>IFERROR('Расчет фасадов MAX'!AA306,0)</f>
        <v>0</v>
      </c>
      <c r="K162" s="373" t="str">
        <f>IFERROR('Расчет фасадов MAX'!AE306,0)</f>
        <v>Фурнитура</v>
      </c>
      <c r="L162" s="373"/>
      <c r="M162" s="373"/>
      <c r="N162" s="400"/>
      <c r="O162" s="400"/>
      <c r="P162" s="400"/>
      <c r="Q162" s="400"/>
      <c r="R162" s="400"/>
      <c r="S162" s="400"/>
      <c r="T162" s="400"/>
      <c r="U162" s="400"/>
      <c r="V162" s="400"/>
      <c r="W162" s="400"/>
      <c r="X162" s="400"/>
      <c r="Y162" s="400"/>
      <c r="Z162" s="400"/>
      <c r="AA162" s="400"/>
      <c r="AB162" s="400"/>
      <c r="AC162" s="400"/>
      <c r="AD162" s="400"/>
      <c r="AE162" s="400"/>
      <c r="AF162" s="400"/>
      <c r="AG162" s="400"/>
      <c r="AH162" s="400"/>
      <c r="AI162" s="400"/>
      <c r="AJ162" s="400"/>
    </row>
  </sheetData>
  <mergeCells count="10">
    <mergeCell ref="B100:B101"/>
    <mergeCell ref="B116:B117"/>
    <mergeCell ref="B132:B133"/>
    <mergeCell ref="B148:B149"/>
    <mergeCell ref="B4:B5"/>
    <mergeCell ref="B20:B21"/>
    <mergeCell ref="B36:B37"/>
    <mergeCell ref="B52:B53"/>
    <mergeCell ref="B68:B69"/>
    <mergeCell ref="B84:B85"/>
  </mergeCells>
  <pageMargins left="0.25" right="0.25" top="0.75" bottom="0.75" header="0.3" footer="0.3"/>
  <pageSetup paperSize="9" scale="63" orientation="landscape" r:id="rId1"/>
  <rowBreaks count="9" manualBreakCount="9">
    <brk id="18" max="9" man="1"/>
    <brk id="34" max="9" man="1"/>
    <brk id="50" max="9" man="1"/>
    <brk id="66" max="9" man="1"/>
    <brk id="82" max="9" man="1"/>
    <brk id="98" max="9" man="1"/>
    <brk id="114" max="9" man="1"/>
    <brk id="130" max="9" man="1"/>
    <brk id="146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CFA1-4B46-4166-95E7-1653AB3AA5C4}">
  <sheetPr codeName="Лист9"/>
  <dimension ref="A1:AW21"/>
  <sheetViews>
    <sheetView zoomScaleNormal="100" workbookViewId="0">
      <selection activeCell="D29" sqref="D29"/>
    </sheetView>
  </sheetViews>
  <sheetFormatPr defaultRowHeight="14.4" x14ac:dyDescent="0.3"/>
  <cols>
    <col min="2" max="2" width="35.5546875" customWidth="1"/>
    <col min="3" max="3" width="5.109375" customWidth="1"/>
    <col min="4" max="4" width="96.33203125" customWidth="1"/>
    <col min="5" max="5" width="1" customWidth="1"/>
    <col min="6" max="6" width="40.6640625" customWidth="1"/>
    <col min="7" max="7" width="25" customWidth="1"/>
    <col min="8" max="8" width="13.88671875" customWidth="1"/>
    <col min="9" max="9" width="27" customWidth="1"/>
    <col min="10" max="10" width="11" customWidth="1"/>
    <col min="11" max="11" width="58.44140625" customWidth="1"/>
    <col min="12" max="12" width="1.44140625" customWidth="1"/>
    <col min="13" max="13" width="19.33203125" customWidth="1"/>
    <col min="14" max="14" width="15" customWidth="1"/>
    <col min="15" max="15" width="10.6640625" customWidth="1"/>
    <col min="16" max="16" width="23.6640625" customWidth="1"/>
    <col min="17" max="21" width="10.6640625" customWidth="1"/>
    <col min="22" max="22" width="17.88671875" customWidth="1"/>
    <col min="23" max="23" width="20.5546875" customWidth="1"/>
    <col min="24" max="26" width="10.6640625" customWidth="1"/>
    <col min="27" max="27" width="25.109375" customWidth="1"/>
    <col min="28" max="35" width="10.6640625" customWidth="1"/>
    <col min="36" max="36" width="14.33203125" customWidth="1"/>
  </cols>
  <sheetData>
    <row r="1" spans="1:36" x14ac:dyDescent="0.3">
      <c r="A1" t="str">
        <f>IF(AL_полки!$D$42&gt;0, "Выгрузка", "Пусто")</f>
        <v>Пусто</v>
      </c>
    </row>
    <row r="2" spans="1:36" ht="16.2" thickBot="1" x14ac:dyDescent="0.35">
      <c r="B2" s="366" t="str">
        <f>HYPERLINK("#"&amp; D2, "ВЫДЕЛИТЬ")</f>
        <v>ВЫДЕЛИТЬ</v>
      </c>
      <c r="D2" t="s">
        <v>596</v>
      </c>
    </row>
    <row r="3" spans="1:36" ht="46.8" x14ac:dyDescent="0.3">
      <c r="B3" s="344" t="s">
        <v>521</v>
      </c>
      <c r="C3" s="344"/>
      <c r="D3" s="344" t="s">
        <v>2</v>
      </c>
      <c r="E3" s="344" t="s">
        <v>0</v>
      </c>
      <c r="F3" s="344" t="s">
        <v>233</v>
      </c>
      <c r="G3" s="345" t="s">
        <v>558</v>
      </c>
      <c r="H3" s="346" t="s">
        <v>559</v>
      </c>
      <c r="I3" s="346" t="s">
        <v>560</v>
      </c>
      <c r="J3" s="347" t="s">
        <v>149</v>
      </c>
      <c r="K3" s="348" t="s">
        <v>237</v>
      </c>
      <c r="L3" s="349" t="s">
        <v>522</v>
      </c>
      <c r="M3" s="350"/>
      <c r="N3" s="338" t="s">
        <v>14</v>
      </c>
      <c r="O3" s="338" t="s">
        <v>523</v>
      </c>
      <c r="P3" s="338" t="s">
        <v>524</v>
      </c>
      <c r="Q3" s="338" t="s">
        <v>525</v>
      </c>
      <c r="R3" s="338" t="s">
        <v>526</v>
      </c>
      <c r="S3" s="338" t="s">
        <v>527</v>
      </c>
      <c r="T3" s="338" t="s">
        <v>528</v>
      </c>
      <c r="U3" s="338" t="s">
        <v>529</v>
      </c>
      <c r="V3" s="338" t="s">
        <v>530</v>
      </c>
      <c r="W3" s="338" t="s">
        <v>531</v>
      </c>
      <c r="X3" s="338" t="s">
        <v>532</v>
      </c>
      <c r="Y3" s="351" t="s">
        <v>533</v>
      </c>
      <c r="Z3" s="338" t="s">
        <v>534</v>
      </c>
      <c r="AA3" s="338" t="s">
        <v>535</v>
      </c>
      <c r="AB3" s="352" t="s">
        <v>536</v>
      </c>
      <c r="AC3" s="338" t="s">
        <v>537</v>
      </c>
      <c r="AD3" s="338" t="s">
        <v>538</v>
      </c>
      <c r="AE3" s="338" t="s">
        <v>539</v>
      </c>
      <c r="AF3" s="338" t="s">
        <v>540</v>
      </c>
      <c r="AG3" s="338" t="s">
        <v>541</v>
      </c>
      <c r="AH3" s="338" t="s">
        <v>542</v>
      </c>
      <c r="AI3" s="338" t="s">
        <v>543</v>
      </c>
      <c r="AJ3" s="338" t="s">
        <v>379</v>
      </c>
    </row>
    <row r="4" spans="1:36" ht="21" x14ac:dyDescent="0.4">
      <c r="C4" s="367">
        <v>1</v>
      </c>
      <c r="D4" s="367" t="str">
        <f>'Расчет полки'!P7</f>
        <v>Размеры базовых профилей обрамления CKRU0559</v>
      </c>
      <c r="E4" s="367"/>
      <c r="F4" s="367" t="e">
        <f>'Расчет полки'!Q7</f>
        <v>#N/A</v>
      </c>
      <c r="G4" s="367" t="str">
        <f>'Расчет полки'!T7</f>
        <v>-20мм-0шт, -20мм-0шт, -20мм-0шт, -20мм-0шт</v>
      </c>
      <c r="H4" s="368">
        <f>'Расчет полки'!U7</f>
        <v>0</v>
      </c>
      <c r="I4" s="367">
        <f>'Расчет полки'!S7</f>
        <v>0</v>
      </c>
      <c r="J4" s="369">
        <f>'Расчет полки'!R7</f>
        <v>0</v>
      </c>
      <c r="K4" s="367" t="str">
        <f>'Расчет полки'!V7</f>
        <v>Полуфабрикаты производимые в процессе</v>
      </c>
      <c r="N4" t="s">
        <v>561</v>
      </c>
      <c r="O4" t="s">
        <v>545</v>
      </c>
      <c r="P4">
        <f>IFERROR('Расчет полки'!$L$21,0)</f>
        <v>0</v>
      </c>
      <c r="V4" t="s">
        <v>546</v>
      </c>
      <c r="W4" t="s">
        <v>546</v>
      </c>
      <c r="X4" t="s">
        <v>562</v>
      </c>
      <c r="Y4" t="s">
        <v>562</v>
      </c>
      <c r="AA4">
        <f>AL_полки!$C$7</f>
        <v>0</v>
      </c>
      <c r="AC4">
        <f>AL_полки!C9</f>
        <v>0</v>
      </c>
      <c r="AD4">
        <f>AL_полки!C11</f>
        <v>0</v>
      </c>
      <c r="AJ4">
        <f>AL_полки!G30</f>
        <v>0</v>
      </c>
    </row>
    <row r="5" spans="1:36" ht="21" x14ac:dyDescent="0.4">
      <c r="C5" s="370">
        <v>2</v>
      </c>
      <c r="D5" s="370" t="str">
        <f>'Расчет полки'!P8</f>
        <v>Размеры профилей-крышек
(алюминиевая CKRU0558)</v>
      </c>
      <c r="E5" s="370"/>
      <c r="F5" s="370" t="e">
        <f>'Расчет полки'!Q8</f>
        <v>#N/A</v>
      </c>
      <c r="G5" s="370" t="str">
        <f>'Расчет полки'!T8</f>
        <v xml:space="preserve">   </v>
      </c>
      <c r="H5" s="371">
        <f>'Расчет полки'!U8</f>
        <v>0</v>
      </c>
      <c r="I5" s="370" t="str">
        <f>'Расчет полки'!S8</f>
        <v/>
      </c>
      <c r="J5" s="372">
        <f>'Расчет полки'!R8</f>
        <v>0</v>
      </c>
      <c r="K5" s="370" t="str">
        <f>'Расчет полки'!V8</f>
        <v>Полуфабрикаты производимые в процессе</v>
      </c>
    </row>
    <row r="6" spans="1:36" ht="21" x14ac:dyDescent="0.4">
      <c r="C6" s="370">
        <v>3</v>
      </c>
      <c r="D6" s="370" t="str">
        <f>'Расчет полки'!P9</f>
        <v>Рассеиватель для полки с подсветкой</v>
      </c>
      <c r="E6" s="370"/>
      <c r="F6" s="370" t="e">
        <f>'Расчет полки'!Q9</f>
        <v>#N/A</v>
      </c>
      <c r="G6" s="370" t="str">
        <f>'Расчет полки'!T9</f>
        <v xml:space="preserve">   </v>
      </c>
      <c r="H6" s="371">
        <f>'Расчет полки'!U9</f>
        <v>0</v>
      </c>
      <c r="I6" s="370">
        <f>'Расчет полки'!S9</f>
        <v>0</v>
      </c>
      <c r="J6" s="372">
        <f>'Расчет полки'!R9</f>
        <v>0</v>
      </c>
      <c r="K6" s="370" t="str">
        <f>'Расчет полки'!V9</f>
        <v>Полуфабрикаты производимые в процессе</v>
      </c>
    </row>
    <row r="7" spans="1:36" ht="21" x14ac:dyDescent="0.4">
      <c r="C7" s="370">
        <v>4</v>
      </c>
      <c r="D7" s="370">
        <f>'Расчет полки'!P10</f>
        <v>0</v>
      </c>
      <c r="E7" s="370"/>
      <c r="F7" s="370" t="e">
        <f>'Расчет полки'!Q10</f>
        <v>#N/A</v>
      </c>
      <c r="G7" s="370">
        <f>'Расчет полки'!T10</f>
        <v>0</v>
      </c>
      <c r="H7" s="371">
        <f>'Расчет полки'!U10</f>
        <v>0</v>
      </c>
      <c r="I7" s="370" t="str">
        <f>'Расчет полки'!S10</f>
        <v>В -6, Ш -6</v>
      </c>
      <c r="J7" s="372">
        <f>'Расчет полки'!R10</f>
        <v>0</v>
      </c>
      <c r="K7" s="370" t="str">
        <f>'Расчет полки'!V10</f>
        <v>Вставки</v>
      </c>
    </row>
    <row r="8" spans="1:36" ht="21" x14ac:dyDescent="0.4">
      <c r="C8" s="370">
        <v>5</v>
      </c>
      <c r="D8" s="370" t="str">
        <f>'Расчет полки'!P11</f>
        <v>Уголок сборочный, для полки с подсветкой</v>
      </c>
      <c r="E8" s="370"/>
      <c r="F8" s="370" t="e">
        <f>'Расчет полки'!Q11</f>
        <v>#N/A</v>
      </c>
      <c r="G8" s="370">
        <f>'Расчет полки'!T11</f>
        <v>0</v>
      </c>
      <c r="H8" s="371">
        <f>'Расчет полки'!U11</f>
        <v>0</v>
      </c>
      <c r="I8" s="370">
        <f>'Расчет полки'!S11</f>
        <v>0</v>
      </c>
      <c r="J8" s="372">
        <f>'Расчет полки'!R11</f>
        <v>0</v>
      </c>
      <c r="K8" s="370" t="str">
        <f>'Расчет полки'!V11</f>
        <v>Полуфабрикаты производимые в процессе</v>
      </c>
    </row>
    <row r="9" spans="1:36" ht="21" x14ac:dyDescent="0.4">
      <c r="C9" s="370">
        <v>6</v>
      </c>
      <c r="D9" s="370" t="str">
        <f>'Расчет полки'!P12</f>
        <v>Уплотнитель П-образный, 4 мм, с шипами, прозрачный (100 м)</v>
      </c>
      <c r="E9" s="370"/>
      <c r="F9" s="370" t="str">
        <f>'Расчет полки'!Q12</f>
        <v>AA0084.VM100.TR000.RK</v>
      </c>
      <c r="G9" s="370">
        <f>'Расчет полки'!T12</f>
        <v>0</v>
      </c>
      <c r="H9" s="371">
        <f>'Расчет полки'!U12</f>
        <v>0</v>
      </c>
      <c r="I9" s="370">
        <f>'Расчет полки'!S12</f>
        <v>0</v>
      </c>
      <c r="J9" s="372">
        <f>'Расчет полки'!R12</f>
        <v>0</v>
      </c>
      <c r="K9" s="370" t="str">
        <f>'Расчет полки'!V12</f>
        <v>Полуфабрикаты производимые в процессе</v>
      </c>
    </row>
    <row r="10" spans="1:36" ht="21" x14ac:dyDescent="0.4">
      <c r="C10" s="370">
        <v>7</v>
      </c>
      <c r="D10" s="370" t="str">
        <f>'Расчет полки'!P13</f>
        <v>Светодиодная лента NLS 5м</v>
      </c>
      <c r="E10" s="370"/>
      <c r="F10" s="370">
        <f>'Расчет полки'!Q13</f>
        <v>0</v>
      </c>
      <c r="G10" s="371">
        <f>'Расчет полки'!T13</f>
        <v>0</v>
      </c>
      <c r="H10" s="371">
        <f>'Расчет полки'!U13</f>
        <v>0</v>
      </c>
      <c r="I10" s="371">
        <f>'Расчет полки'!S13</f>
        <v>0</v>
      </c>
      <c r="J10" s="372">
        <f>'Расчет полки'!R13</f>
        <v>0</v>
      </c>
      <c r="K10" s="370" t="str">
        <f>'Расчет полки'!V13</f>
        <v>Полуфабрикаты производимые в процессе</v>
      </c>
    </row>
    <row r="11" spans="1:36" ht="21" x14ac:dyDescent="0.4">
      <c r="C11" s="370">
        <v>8</v>
      </c>
      <c r="D11" s="370" t="str">
        <f>'Расчет полки'!P14</f>
        <v>Трансформатор</v>
      </c>
      <c r="E11" s="370"/>
      <c r="F11" s="370" t="str">
        <f>'Расчет полки'!Q14</f>
        <v/>
      </c>
      <c r="G11" s="370">
        <f>'Расчет полки'!T14</f>
        <v>0</v>
      </c>
      <c r="H11" s="371">
        <f>'Расчет полки'!U14</f>
        <v>0</v>
      </c>
      <c r="I11" s="370">
        <f>'Расчет полки'!S14</f>
        <v>0</v>
      </c>
      <c r="J11" s="372">
        <f>'Расчет полки'!R14</f>
        <v>0</v>
      </c>
      <c r="K11" s="370" t="str">
        <f>'Расчет полки'!V14</f>
        <v>Фурнитура</v>
      </c>
    </row>
    <row r="12" spans="1:36" ht="21" x14ac:dyDescent="0.4">
      <c r="C12" s="370">
        <v>9</v>
      </c>
      <c r="D12" s="370" t="str">
        <f>'Расчет полки'!P15</f>
        <v>Кабель 2м, с мини-штекером</v>
      </c>
      <c r="E12" s="370"/>
      <c r="F12" s="370" t="str">
        <f>'Расчет полки'!Q15</f>
        <v>15.009.04.013</v>
      </c>
      <c r="G12" s="370">
        <f>'Расчет полки'!T15</f>
        <v>0</v>
      </c>
      <c r="H12" s="371">
        <f>'Расчет полки'!U15</f>
        <v>0</v>
      </c>
      <c r="I12" s="370">
        <f>'Расчет полки'!S15</f>
        <v>0</v>
      </c>
      <c r="J12" s="372">
        <f>'Расчет полки'!R15</f>
        <v>0</v>
      </c>
      <c r="K12" s="370" t="str">
        <f>'Расчет полки'!V15</f>
        <v>Полуфабрикаты производимые в процессе</v>
      </c>
    </row>
    <row r="13" spans="1:36" ht="21" x14ac:dyDescent="0.4">
      <c r="C13" s="370">
        <v>10</v>
      </c>
      <c r="D13" s="370" t="str">
        <f>'Расчет полки'!P16</f>
        <v>Кабель-удлинитель 2 м штекер-мама/папа</v>
      </c>
      <c r="E13" s="370"/>
      <c r="F13" s="370" t="str">
        <f>'Расчет полки'!Q16</f>
        <v>19.143.36.410</v>
      </c>
      <c r="G13" s="370">
        <f>'Расчет полки'!T16</f>
        <v>0</v>
      </c>
      <c r="H13" s="371">
        <f>'Расчет полки'!U16</f>
        <v>0</v>
      </c>
      <c r="I13" s="370">
        <f>'Расчет полки'!S16</f>
        <v>0</v>
      </c>
      <c r="J13" s="372">
        <f>'Расчет полки'!R16</f>
        <v>0</v>
      </c>
      <c r="K13" s="370" t="str">
        <f>'Расчет полки'!V16</f>
        <v>Фурнитура</v>
      </c>
    </row>
    <row r="14" spans="1:36" ht="21" x14ac:dyDescent="0.4">
      <c r="C14" s="370">
        <v>11</v>
      </c>
      <c r="D14" s="370" t="str">
        <f>'Расчет полки'!P17</f>
        <v>Переходник для подключения до 6-ти LED</v>
      </c>
      <c r="E14" s="370"/>
      <c r="F14" s="370" t="str">
        <f>'Расчет полки'!Q17</f>
        <v>15.800.00.041</v>
      </c>
      <c r="G14" s="370">
        <f>'Расчет полки'!T17</f>
        <v>0</v>
      </c>
      <c r="H14" s="371">
        <f>'Расчет полки'!U17</f>
        <v>0</v>
      </c>
      <c r="I14" s="370">
        <f>'Расчет полки'!S17</f>
        <v>0</v>
      </c>
      <c r="J14" s="372">
        <f>'Расчет полки'!R17</f>
        <v>0</v>
      </c>
      <c r="K14" s="370" t="str">
        <f>'Расчет полки'!V17</f>
        <v>Фурнитура</v>
      </c>
    </row>
    <row r="15" spans="1:36" ht="21" x14ac:dyDescent="0.4">
      <c r="C15" s="370">
        <v>12</v>
      </c>
      <c r="D15" s="370" t="str">
        <f>'Расчет полки'!P18</f>
        <v>Воздушно-пузырьковая пленка 3-10-115 (1,2*100)</v>
      </c>
      <c r="E15" s="370"/>
      <c r="F15" s="370" t="str">
        <f>'Расчет полки'!Q18</f>
        <v>3-10-115</v>
      </c>
      <c r="G15" s="370">
        <f>'Расчет полки'!T18</f>
        <v>0</v>
      </c>
      <c r="H15" s="371">
        <f>'Расчет полки'!U18</f>
        <v>0</v>
      </c>
      <c r="I15" s="370">
        <f>'Расчет полки'!S18</f>
        <v>0</v>
      </c>
      <c r="J15" s="372">
        <f>'Расчет полки'!R18</f>
        <v>0</v>
      </c>
      <c r="K15" s="370" t="str">
        <f>'Расчет полки'!V18</f>
        <v>Полуфабрикаты производимые в процессе</v>
      </c>
    </row>
    <row r="16" spans="1:36" ht="21" x14ac:dyDescent="0.4">
      <c r="C16" s="370">
        <v>13</v>
      </c>
      <c r="D16" s="370" t="str">
        <f>'Расчет полки'!P19</f>
        <v>Новофлекс П 40-50 (L3100)</v>
      </c>
      <c r="E16" s="370"/>
      <c r="F16" s="370" t="str">
        <f>'Расчет полки'!Q19</f>
        <v>П 40-50</v>
      </c>
      <c r="G16" s="370">
        <f>'Расчет полки'!T19</f>
        <v>0</v>
      </c>
      <c r="H16" s="371">
        <f>'Расчет полки'!U19</f>
        <v>0</v>
      </c>
      <c r="I16" s="370">
        <f>'Расчет полки'!S19</f>
        <v>0</v>
      </c>
      <c r="J16" s="372">
        <f>'Расчет полки'!R19</f>
        <v>0</v>
      </c>
      <c r="K16" s="370" t="str">
        <f>'Расчет полки'!V19</f>
        <v>Полуфабрикаты производимые в процессе</v>
      </c>
    </row>
    <row r="17" spans="1:49" ht="21" x14ac:dyDescent="0.4">
      <c r="C17" s="370">
        <v>14</v>
      </c>
      <c r="D17" s="370" t="str">
        <f>'Расчет полки'!P20</f>
        <v>Стрейч плёнка 500*300 (087.0800.50) первичная</v>
      </c>
      <c r="E17" s="370"/>
      <c r="F17" s="370" t="str">
        <f>'Расчет полки'!Q20</f>
        <v>087.0800.50</v>
      </c>
      <c r="G17" s="370">
        <f>'Расчет полки'!T20</f>
        <v>0</v>
      </c>
      <c r="H17" s="371">
        <f>'Расчет полки'!U20</f>
        <v>0</v>
      </c>
      <c r="I17" s="370">
        <f>'Расчет полки'!S20</f>
        <v>0</v>
      </c>
      <c r="J17" s="372">
        <f>'Расчет полки'!R20</f>
        <v>0</v>
      </c>
      <c r="K17" s="370" t="str">
        <f>'Расчет полки'!V20</f>
        <v>Полуфабрикаты производимые в процессе</v>
      </c>
    </row>
    <row r="18" spans="1:49" ht="21" x14ac:dyDescent="0.4">
      <c r="C18" s="370">
        <v>15</v>
      </c>
      <c r="D18" s="370" t="str">
        <f>'Расчет полки'!P21</f>
        <v>Скотч АРИСТО 2021 06.21</v>
      </c>
      <c r="E18" s="370"/>
      <c r="F18" s="370" t="str">
        <f>'Расчет полки'!Q21</f>
        <v>ARR-0335</v>
      </c>
      <c r="G18" s="370">
        <f>'Расчет полки'!T21</f>
        <v>0</v>
      </c>
      <c r="H18" s="371">
        <f>'Расчет полки'!U21</f>
        <v>0</v>
      </c>
      <c r="I18" s="370">
        <f>'Расчет полки'!S21</f>
        <v>0</v>
      </c>
      <c r="J18" s="372">
        <f>'Расчет полки'!R21</f>
        <v>7.575757575757576E-3</v>
      </c>
      <c r="K18" s="370" t="str">
        <f>'Расчет полки'!V21</f>
        <v>Полуфабрикаты производимые в процессе</v>
      </c>
    </row>
    <row r="19" spans="1:49" ht="21" x14ac:dyDescent="0.4">
      <c r="C19" s="370">
        <v>16</v>
      </c>
      <c r="D19" s="370" t="str">
        <f>'Расчет полки'!P22</f>
        <v>Клейкая лента прозрачная 72мм*45мм*50мкм</v>
      </c>
      <c r="E19" s="370"/>
      <c r="F19" s="370" t="str">
        <f>'Расчет полки'!Q22</f>
        <v>0800.50</v>
      </c>
      <c r="G19" s="370">
        <f>'Расчет полки'!T22</f>
        <v>0</v>
      </c>
      <c r="H19" s="371">
        <f>'Расчет полки'!U22</f>
        <v>0</v>
      </c>
      <c r="I19" s="370">
        <f>'Расчет полки'!S22</f>
        <v>0</v>
      </c>
      <c r="J19" s="372">
        <f>'Расчет полки'!R22</f>
        <v>1.1111111111111112E-2</v>
      </c>
      <c r="K19" s="370" t="str">
        <f>'Расчет полки'!V22</f>
        <v>Полуфабрикаты производимые в процессе</v>
      </c>
      <c r="P19" s="133"/>
    </row>
    <row r="20" spans="1:49" ht="21" x14ac:dyDescent="0.4">
      <c r="C20" s="370">
        <v>17</v>
      </c>
      <c r="D20" s="370" t="str">
        <f>'Расчет полки'!P23</f>
        <v>Клейкая ленка "ОСТОРОЖНО! СТЕКЛО"</v>
      </c>
      <c r="E20" s="370"/>
      <c r="F20" s="370" t="str">
        <f>'Расчет полки'!Q23</f>
        <v>43скл</v>
      </c>
      <c r="G20" s="370">
        <f>'Расчет полки'!T23</f>
        <v>0</v>
      </c>
      <c r="H20" s="370">
        <f>'Расчет полки'!U23</f>
        <v>0</v>
      </c>
      <c r="I20" s="370">
        <f>'Расчет полки'!S23</f>
        <v>0</v>
      </c>
      <c r="J20" s="372">
        <f>'Расчет полки'!R23</f>
        <v>0.5</v>
      </c>
      <c r="K20" s="370" t="str">
        <f>'Расчет полки'!V23</f>
        <v>Полуфабрикаты производимые в процессе</v>
      </c>
    </row>
    <row r="21" spans="1:49" ht="21.6" thickBot="1" x14ac:dyDescent="0.45">
      <c r="A21" s="245"/>
      <c r="B21" s="245"/>
      <c r="C21" s="373">
        <v>18</v>
      </c>
      <c r="D21" s="373" t="str">
        <f>'Расчет полки'!P24</f>
        <v>Пленка-мешок полиэтиленовый 250*700*0,1</v>
      </c>
      <c r="E21" s="373"/>
      <c r="F21" s="373" t="str">
        <f>'Расчет полки'!Q24</f>
        <v>250*700*0,1</v>
      </c>
      <c r="G21" s="373">
        <f>'Расчет полки'!T24</f>
        <v>0</v>
      </c>
      <c r="H21" s="373">
        <f>'Расчет полки'!U24</f>
        <v>1</v>
      </c>
      <c r="I21" s="373">
        <f>'Расчет полки'!S24</f>
        <v>0</v>
      </c>
      <c r="J21" s="375">
        <f>'Расчет полки'!R24</f>
        <v>1</v>
      </c>
      <c r="K21" s="373" t="str">
        <f>'Расчет полки'!V24</f>
        <v>Полуфабрикаты производимые в процессе</v>
      </c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</row>
  </sheetData>
  <pageMargins left="0.7" right="0.7" top="0.75" bottom="0.75" header="0.3" footer="0.3"/>
  <pageSetup paperSize="9"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B1:AS39"/>
  <sheetViews>
    <sheetView topLeftCell="AB1" workbookViewId="0">
      <selection activeCell="AN16" sqref="AN16"/>
    </sheetView>
  </sheetViews>
  <sheetFormatPr defaultRowHeight="14.4" x14ac:dyDescent="0.3"/>
  <cols>
    <col min="6" max="6" width="11.33203125" customWidth="1"/>
    <col min="10" max="10" width="33.88671875" customWidth="1"/>
    <col min="11" max="12" width="18.33203125" customWidth="1"/>
    <col min="13" max="13" width="15.33203125" customWidth="1"/>
    <col min="14" max="14" width="22.6640625" customWidth="1"/>
    <col min="15" max="16" width="15.88671875" customWidth="1"/>
    <col min="17" max="17" width="11.6640625" customWidth="1"/>
    <col min="20" max="20" width="33.33203125" customWidth="1"/>
    <col min="21" max="21" width="17.33203125" customWidth="1"/>
    <col min="22" max="22" width="20.44140625" customWidth="1"/>
    <col min="24" max="24" width="36" customWidth="1"/>
    <col min="26" max="26" width="15.88671875" customWidth="1"/>
    <col min="27" max="27" width="16" customWidth="1"/>
    <col min="30" max="30" width="14.44140625" customWidth="1"/>
    <col min="31" max="31" width="24" customWidth="1"/>
    <col min="32" max="32" width="20.6640625" customWidth="1"/>
    <col min="33" max="33" width="15.33203125" customWidth="1"/>
    <col min="38" max="38" width="14" customWidth="1"/>
    <col min="39" max="39" width="19.6640625" customWidth="1"/>
    <col min="40" max="40" width="15.6640625" customWidth="1"/>
    <col min="41" max="41" width="7.33203125" customWidth="1"/>
    <col min="43" max="43" width="19.109375" customWidth="1"/>
    <col min="44" max="44" width="14.109375" customWidth="1"/>
  </cols>
  <sheetData>
    <row r="1" spans="2:45" x14ac:dyDescent="0.3">
      <c r="B1" s="268" t="s">
        <v>653</v>
      </c>
      <c r="F1" s="268" t="s">
        <v>357</v>
      </c>
      <c r="J1" s="268" t="s">
        <v>447</v>
      </c>
      <c r="N1" s="268" t="s">
        <v>448</v>
      </c>
      <c r="Q1" s="268" t="s">
        <v>368</v>
      </c>
      <c r="R1" s="268"/>
      <c r="Z1" s="268" t="s">
        <v>657</v>
      </c>
      <c r="AD1" s="268" t="s">
        <v>658</v>
      </c>
      <c r="AJ1" s="268" t="s">
        <v>412</v>
      </c>
      <c r="AM1" s="268" t="s">
        <v>439</v>
      </c>
      <c r="AQ1" s="268" t="s">
        <v>719</v>
      </c>
    </row>
    <row r="2" spans="2:45" x14ac:dyDescent="0.3">
      <c r="B2" s="5" t="s">
        <v>212</v>
      </c>
      <c r="F2" t="s">
        <v>358</v>
      </c>
      <c r="G2" t="s">
        <v>359</v>
      </c>
      <c r="J2" t="s">
        <v>360</v>
      </c>
      <c r="K2" t="s">
        <v>359</v>
      </c>
      <c r="L2" t="s">
        <v>573</v>
      </c>
      <c r="N2" t="s">
        <v>360</v>
      </c>
      <c r="O2" t="s">
        <v>359</v>
      </c>
      <c r="Q2" t="s">
        <v>358</v>
      </c>
      <c r="R2" t="s">
        <v>366</v>
      </c>
      <c r="S2" t="s">
        <v>367</v>
      </c>
      <c r="T2" t="s">
        <v>372</v>
      </c>
      <c r="U2" t="s">
        <v>43</v>
      </c>
      <c r="V2" t="s">
        <v>44</v>
      </c>
      <c r="W2" t="s">
        <v>311</v>
      </c>
      <c r="X2" t="s">
        <v>2</v>
      </c>
      <c r="Z2" t="s">
        <v>655</v>
      </c>
      <c r="AA2" t="s">
        <v>656</v>
      </c>
      <c r="AD2" t="s">
        <v>388</v>
      </c>
      <c r="AE2" t="s">
        <v>382</v>
      </c>
      <c r="AF2" t="s">
        <v>383</v>
      </c>
      <c r="AG2" t="s">
        <v>384</v>
      </c>
      <c r="AJ2" t="s">
        <v>445</v>
      </c>
      <c r="AM2" s="320" t="s">
        <v>438</v>
      </c>
      <c r="AN2" s="320" t="s">
        <v>359</v>
      </c>
      <c r="AO2" s="320" t="s">
        <v>724</v>
      </c>
      <c r="AQ2" s="320" t="s">
        <v>720</v>
      </c>
      <c r="AR2" t="s">
        <v>359</v>
      </c>
      <c r="AS2" t="s">
        <v>718</v>
      </c>
    </row>
    <row r="3" spans="2:45" x14ac:dyDescent="0.3">
      <c r="B3" s="5" t="s">
        <v>104</v>
      </c>
      <c r="F3" t="s">
        <v>564</v>
      </c>
      <c r="G3" t="s">
        <v>43</v>
      </c>
      <c r="J3" t="s">
        <v>165</v>
      </c>
      <c r="K3" t="s">
        <v>473</v>
      </c>
      <c r="L3">
        <v>0</v>
      </c>
      <c r="N3" t="s">
        <v>166</v>
      </c>
      <c r="O3" t="s">
        <v>409</v>
      </c>
      <c r="Q3" t="s">
        <v>365</v>
      </c>
      <c r="R3" t="s">
        <v>369</v>
      </c>
      <c r="S3" t="str">
        <f>Q3&amp;R3</f>
        <v>РамочныйДа</v>
      </c>
      <c r="T3" t="s">
        <v>407</v>
      </c>
      <c r="U3" t="s">
        <v>591</v>
      </c>
      <c r="V3" t="s">
        <v>496</v>
      </c>
      <c r="W3" t="s">
        <v>308</v>
      </c>
      <c r="Z3" t="s">
        <v>564</v>
      </c>
      <c r="AA3" t="s">
        <v>385</v>
      </c>
      <c r="AJ3" t="s">
        <v>446</v>
      </c>
      <c r="AM3" s="15" t="s">
        <v>436</v>
      </c>
      <c r="AN3" t="s">
        <v>421</v>
      </c>
      <c r="AO3">
        <v>36</v>
      </c>
      <c r="AQ3" t="s">
        <v>281</v>
      </c>
      <c r="AR3" t="s">
        <v>648</v>
      </c>
      <c r="AS3">
        <v>9.6</v>
      </c>
    </row>
    <row r="4" spans="2:45" x14ac:dyDescent="0.3">
      <c r="B4" s="5" t="s">
        <v>210</v>
      </c>
      <c r="F4" t="s">
        <v>42</v>
      </c>
      <c r="G4" t="s">
        <v>44</v>
      </c>
      <c r="J4" t="s">
        <v>166</v>
      </c>
      <c r="K4" t="s">
        <v>409</v>
      </c>
      <c r="L4">
        <v>0</v>
      </c>
      <c r="N4" t="s">
        <v>167</v>
      </c>
      <c r="O4" t="s">
        <v>410</v>
      </c>
      <c r="Q4" t="s">
        <v>365</v>
      </c>
      <c r="R4" t="s">
        <v>370</v>
      </c>
      <c r="S4" t="str">
        <f>Q4&amp;R4</f>
        <v>РамочныйНет</v>
      </c>
      <c r="T4" t="s">
        <v>408</v>
      </c>
      <c r="U4" t="s">
        <v>590</v>
      </c>
      <c r="V4" t="s">
        <v>495</v>
      </c>
      <c r="W4" t="s">
        <v>309</v>
      </c>
      <c r="Z4" t="s">
        <v>42</v>
      </c>
      <c r="AA4" t="s">
        <v>386</v>
      </c>
      <c r="AD4" t="s">
        <v>385</v>
      </c>
      <c r="AE4" t="s">
        <v>565</v>
      </c>
      <c r="AF4" t="s">
        <v>350</v>
      </c>
      <c r="AG4" t="s">
        <v>331</v>
      </c>
      <c r="AM4" s="15" t="s">
        <v>437</v>
      </c>
      <c r="AN4" t="s">
        <v>422</v>
      </c>
      <c r="AO4">
        <v>60</v>
      </c>
      <c r="AQ4" t="s">
        <v>282</v>
      </c>
      <c r="AR4" t="s">
        <v>418</v>
      </c>
      <c r="AS4">
        <v>9.6</v>
      </c>
    </row>
    <row r="5" spans="2:45" x14ac:dyDescent="0.3">
      <c r="B5" s="5" t="s">
        <v>230</v>
      </c>
      <c r="F5" t="s">
        <v>310</v>
      </c>
      <c r="G5" t="s">
        <v>311</v>
      </c>
      <c r="J5" t="s">
        <v>167</v>
      </c>
      <c r="K5" t="s">
        <v>410</v>
      </c>
      <c r="L5">
        <v>0</v>
      </c>
      <c r="N5" t="s">
        <v>168</v>
      </c>
      <c r="O5" t="s">
        <v>222</v>
      </c>
      <c r="Z5" t="s">
        <v>310</v>
      </c>
      <c r="AA5" t="s">
        <v>385</v>
      </c>
      <c r="AD5" t="s">
        <v>386</v>
      </c>
      <c r="AE5" t="s">
        <v>566</v>
      </c>
      <c r="AF5" t="s">
        <v>391</v>
      </c>
      <c r="AG5" t="s">
        <v>498</v>
      </c>
      <c r="AM5" s="15" t="s">
        <v>606</v>
      </c>
      <c r="AN5" t="s">
        <v>607</v>
      </c>
      <c r="AO5">
        <v>75</v>
      </c>
    </row>
    <row r="6" spans="2:45" x14ac:dyDescent="0.3">
      <c r="B6" s="5" t="s">
        <v>211</v>
      </c>
      <c r="J6" t="s">
        <v>168</v>
      </c>
      <c r="K6" t="s">
        <v>698</v>
      </c>
      <c r="L6">
        <v>0</v>
      </c>
      <c r="N6" t="s">
        <v>169</v>
      </c>
      <c r="O6" t="s">
        <v>223</v>
      </c>
      <c r="Z6" t="s">
        <v>310</v>
      </c>
      <c r="AA6" t="s">
        <v>386</v>
      </c>
      <c r="AM6" s="15" t="s">
        <v>608</v>
      </c>
      <c r="AN6" t="s">
        <v>609</v>
      </c>
      <c r="AO6">
        <v>105</v>
      </c>
    </row>
    <row r="7" spans="2:45" x14ac:dyDescent="0.3">
      <c r="J7" t="s">
        <v>169</v>
      </c>
      <c r="K7" t="s">
        <v>699</v>
      </c>
      <c r="L7">
        <v>0</v>
      </c>
      <c r="N7" t="s">
        <v>170</v>
      </c>
      <c r="O7" t="s">
        <v>224</v>
      </c>
    </row>
    <row r="8" spans="2:45" x14ac:dyDescent="0.3">
      <c r="F8" s="268" t="s">
        <v>652</v>
      </c>
      <c r="J8" t="s">
        <v>170</v>
      </c>
      <c r="K8" t="s">
        <v>700</v>
      </c>
      <c r="L8">
        <v>0</v>
      </c>
      <c r="N8" t="s">
        <v>171</v>
      </c>
      <c r="O8" t="s">
        <v>225</v>
      </c>
      <c r="Q8" s="268" t="s">
        <v>667</v>
      </c>
    </row>
    <row r="9" spans="2:45" x14ac:dyDescent="0.3">
      <c r="B9" s="401" t="s">
        <v>654</v>
      </c>
      <c r="F9" t="s">
        <v>358</v>
      </c>
      <c r="G9" t="s">
        <v>359</v>
      </c>
      <c r="J9" t="s">
        <v>171</v>
      </c>
      <c r="K9" t="s">
        <v>701</v>
      </c>
      <c r="L9">
        <v>0</v>
      </c>
      <c r="N9" t="s">
        <v>179</v>
      </c>
      <c r="O9" t="s">
        <v>613</v>
      </c>
      <c r="Q9" t="s">
        <v>358</v>
      </c>
      <c r="R9" t="s">
        <v>366</v>
      </c>
      <c r="S9" t="s">
        <v>367</v>
      </c>
      <c r="T9" t="s">
        <v>372</v>
      </c>
      <c r="U9" t="s">
        <v>44</v>
      </c>
      <c r="V9" t="s">
        <v>2</v>
      </c>
      <c r="Z9" t="s">
        <v>655</v>
      </c>
      <c r="AA9" t="s">
        <v>656</v>
      </c>
      <c r="AD9" s="268" t="s">
        <v>659</v>
      </c>
    </row>
    <row r="10" spans="2:45" x14ac:dyDescent="0.3">
      <c r="B10" s="5" t="s">
        <v>216</v>
      </c>
      <c r="F10" t="s">
        <v>42</v>
      </c>
      <c r="G10" t="s">
        <v>44</v>
      </c>
      <c r="J10" t="s">
        <v>179</v>
      </c>
      <c r="K10" t="s">
        <v>613</v>
      </c>
      <c r="L10">
        <v>1</v>
      </c>
      <c r="N10" t="s">
        <v>688</v>
      </c>
      <c r="O10" t="s">
        <v>689</v>
      </c>
      <c r="Q10" t="s">
        <v>365</v>
      </c>
      <c r="R10" t="s">
        <v>369</v>
      </c>
      <c r="S10" t="s">
        <v>663</v>
      </c>
      <c r="T10" t="s">
        <v>407</v>
      </c>
      <c r="U10" t="s">
        <v>664</v>
      </c>
      <c r="Z10" t="s">
        <v>42</v>
      </c>
      <c r="AA10" t="s">
        <v>386</v>
      </c>
      <c r="AD10" t="s">
        <v>388</v>
      </c>
      <c r="AE10" t="s">
        <v>382</v>
      </c>
      <c r="AF10" t="s">
        <v>383</v>
      </c>
      <c r="AG10" t="s">
        <v>384</v>
      </c>
    </row>
    <row r="11" spans="2:45" x14ac:dyDescent="0.3">
      <c r="B11" s="5" t="s">
        <v>217</v>
      </c>
      <c r="J11" t="s">
        <v>688</v>
      </c>
      <c r="K11" t="s">
        <v>689</v>
      </c>
      <c r="L11">
        <v>0</v>
      </c>
      <c r="N11" t="s">
        <v>173</v>
      </c>
      <c r="O11" t="s">
        <v>615</v>
      </c>
      <c r="Q11" t="s">
        <v>365</v>
      </c>
      <c r="R11" t="s">
        <v>370</v>
      </c>
      <c r="S11" t="s">
        <v>665</v>
      </c>
      <c r="T11" t="s">
        <v>408</v>
      </c>
      <c r="U11" t="s">
        <v>666</v>
      </c>
      <c r="AD11" t="s">
        <v>386</v>
      </c>
      <c r="AE11" t="s">
        <v>660</v>
      </c>
      <c r="AF11" t="s">
        <v>661</v>
      </c>
      <c r="AG11" t="s">
        <v>498</v>
      </c>
    </row>
    <row r="12" spans="2:45" x14ac:dyDescent="0.3">
      <c r="J12" t="s">
        <v>172</v>
      </c>
      <c r="K12" t="s">
        <v>614</v>
      </c>
      <c r="L12">
        <v>1</v>
      </c>
      <c r="N12" t="s">
        <v>160</v>
      </c>
      <c r="O12" t="s">
        <v>617</v>
      </c>
    </row>
    <row r="13" spans="2:45" x14ac:dyDescent="0.3">
      <c r="F13" t="str">
        <f ca="1">INDIRECT("ПрофилиMAX[профиль]")</f>
        <v>Черный матовый</v>
      </c>
      <c r="J13" t="s">
        <v>173</v>
      </c>
      <c r="K13" t="s">
        <v>615</v>
      </c>
      <c r="L13">
        <v>1</v>
      </c>
      <c r="N13" t="s">
        <v>161</v>
      </c>
      <c r="O13" t="s">
        <v>618</v>
      </c>
    </row>
    <row r="14" spans="2:45" x14ac:dyDescent="0.3">
      <c r="J14" s="5" t="s">
        <v>159</v>
      </c>
      <c r="K14" s="5" t="s">
        <v>619</v>
      </c>
      <c r="L14">
        <v>1</v>
      </c>
      <c r="N14" t="s">
        <v>164</v>
      </c>
      <c r="O14" t="s">
        <v>221</v>
      </c>
    </row>
    <row r="15" spans="2:45" x14ac:dyDescent="0.3">
      <c r="J15" t="s">
        <v>302</v>
      </c>
      <c r="K15" t="s">
        <v>616</v>
      </c>
      <c r="L15">
        <v>1</v>
      </c>
      <c r="N15" t="s">
        <v>174</v>
      </c>
      <c r="O15" t="s">
        <v>219</v>
      </c>
    </row>
    <row r="16" spans="2:45" x14ac:dyDescent="0.3">
      <c r="J16" t="s">
        <v>160</v>
      </c>
      <c r="K16" t="s">
        <v>617</v>
      </c>
      <c r="L16">
        <v>1</v>
      </c>
      <c r="N16" t="s">
        <v>163</v>
      </c>
      <c r="O16" t="s">
        <v>220</v>
      </c>
    </row>
    <row r="17" spans="8:15" x14ac:dyDescent="0.3">
      <c r="J17" t="s">
        <v>161</v>
      </c>
      <c r="K17" t="s">
        <v>618</v>
      </c>
      <c r="L17">
        <v>1</v>
      </c>
      <c r="N17" t="s">
        <v>175</v>
      </c>
      <c r="O17" t="s">
        <v>226</v>
      </c>
    </row>
    <row r="18" spans="8:15" x14ac:dyDescent="0.3">
      <c r="J18" t="s">
        <v>164</v>
      </c>
      <c r="K18" t="s">
        <v>221</v>
      </c>
      <c r="L18">
        <v>0</v>
      </c>
      <c r="N18" t="s">
        <v>176</v>
      </c>
      <c r="O18" t="s">
        <v>229</v>
      </c>
    </row>
    <row r="19" spans="8:15" x14ac:dyDescent="0.3">
      <c r="J19" s="5" t="s">
        <v>162</v>
      </c>
      <c r="K19" t="s">
        <v>219</v>
      </c>
      <c r="L19">
        <v>0</v>
      </c>
      <c r="N19" t="s">
        <v>177</v>
      </c>
      <c r="O19" t="s">
        <v>228</v>
      </c>
    </row>
    <row r="20" spans="8:15" x14ac:dyDescent="0.3">
      <c r="J20" t="s">
        <v>163</v>
      </c>
      <c r="K20" t="s">
        <v>220</v>
      </c>
      <c r="L20">
        <v>0</v>
      </c>
      <c r="N20" t="s">
        <v>178</v>
      </c>
      <c r="O20" t="s">
        <v>227</v>
      </c>
    </row>
    <row r="21" spans="8:15" x14ac:dyDescent="0.3">
      <c r="J21" t="s">
        <v>175</v>
      </c>
      <c r="K21" t="s">
        <v>702</v>
      </c>
      <c r="L21">
        <v>0</v>
      </c>
    </row>
    <row r="22" spans="8:15" x14ac:dyDescent="0.3">
      <c r="J22" t="s">
        <v>176</v>
      </c>
      <c r="K22" t="s">
        <v>703</v>
      </c>
      <c r="L22">
        <v>0</v>
      </c>
    </row>
    <row r="23" spans="8:15" x14ac:dyDescent="0.3">
      <c r="J23" t="s">
        <v>177</v>
      </c>
      <c r="K23" t="s">
        <v>704</v>
      </c>
      <c r="L23">
        <v>0</v>
      </c>
    </row>
    <row r="24" spans="8:15" x14ac:dyDescent="0.3">
      <c r="J24" t="s">
        <v>178</v>
      </c>
      <c r="K24" t="s">
        <v>227</v>
      </c>
      <c r="L24">
        <v>0</v>
      </c>
    </row>
    <row r="27" spans="8:15" x14ac:dyDescent="0.3">
      <c r="H27" t="e">
        <f ca="1">INDIRECT("Вставки[вставка]")</f>
        <v>#VALUE!</v>
      </c>
    </row>
    <row r="28" spans="8:15" x14ac:dyDescent="0.3">
      <c r="M28" s="268" t="s">
        <v>577</v>
      </c>
    </row>
    <row r="29" spans="8:15" x14ac:dyDescent="0.3">
      <c r="J29" s="268" t="s">
        <v>577</v>
      </c>
      <c r="M29" t="s">
        <v>579</v>
      </c>
    </row>
    <row r="30" spans="8:15" x14ac:dyDescent="0.3">
      <c r="J30" t="s">
        <v>578</v>
      </c>
      <c r="K30" t="s">
        <v>359</v>
      </c>
      <c r="M30" s="15" t="s">
        <v>157</v>
      </c>
    </row>
    <row r="31" spans="8:15" x14ac:dyDescent="0.3">
      <c r="J31" s="15" t="s">
        <v>157</v>
      </c>
      <c r="K31" s="5" t="s">
        <v>613</v>
      </c>
      <c r="M31" s="5" t="s">
        <v>158</v>
      </c>
    </row>
    <row r="32" spans="8:15" x14ac:dyDescent="0.3">
      <c r="J32" s="5" t="s">
        <v>158</v>
      </c>
      <c r="K32" s="5" t="s">
        <v>615</v>
      </c>
      <c r="M32" s="5" t="s">
        <v>160</v>
      </c>
    </row>
    <row r="33" spans="10:14" x14ac:dyDescent="0.3">
      <c r="J33" s="5" t="s">
        <v>159</v>
      </c>
      <c r="K33" s="5" t="s">
        <v>619</v>
      </c>
      <c r="M33" s="5" t="s">
        <v>161</v>
      </c>
    </row>
    <row r="34" spans="10:14" x14ac:dyDescent="0.3">
      <c r="J34" s="5" t="s">
        <v>302</v>
      </c>
      <c r="K34" s="5" t="s">
        <v>616</v>
      </c>
      <c r="M34" s="5" t="s">
        <v>164</v>
      </c>
    </row>
    <row r="35" spans="10:14" x14ac:dyDescent="0.3">
      <c r="J35" s="5" t="s">
        <v>160</v>
      </c>
      <c r="K35" s="5" t="s">
        <v>617</v>
      </c>
      <c r="M35" s="5" t="s">
        <v>162</v>
      </c>
    </row>
    <row r="36" spans="10:14" x14ac:dyDescent="0.3">
      <c r="J36" s="5" t="s">
        <v>161</v>
      </c>
      <c r="K36" s="5" t="s">
        <v>618</v>
      </c>
      <c r="M36" s="5" t="s">
        <v>163</v>
      </c>
    </row>
    <row r="37" spans="10:14" x14ac:dyDescent="0.3">
      <c r="J37" s="5" t="s">
        <v>162</v>
      </c>
      <c r="K37" s="5" t="s">
        <v>219</v>
      </c>
    </row>
    <row r="38" spans="10:14" x14ac:dyDescent="0.3">
      <c r="J38" s="5" t="s">
        <v>163</v>
      </c>
      <c r="K38" s="5" t="s">
        <v>220</v>
      </c>
    </row>
    <row r="39" spans="10:14" x14ac:dyDescent="0.3">
      <c r="J39" s="5" t="s">
        <v>164</v>
      </c>
      <c r="K39" s="5" t="s">
        <v>221</v>
      </c>
      <c r="N39" t="e">
        <f ca="1">INDIRECT("ПолкиВставкиОПТ[опт]")</f>
        <v>#VALUE!</v>
      </c>
    </row>
  </sheetData>
  <pageMargins left="0.7" right="0.7" top="0.75" bottom="0.75" header="0.3" footer="0.3"/>
  <pageSetup paperSize="9" orientation="portrait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0">
    <tabColor theme="8" tint="0.79998168889431442"/>
  </sheetPr>
  <dimension ref="A1"/>
  <sheetViews>
    <sheetView workbookViewId="0">
      <selection activeCell="V25" sqref="V2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1">
    <tabColor theme="9" tint="0.79998168889431442"/>
  </sheetPr>
  <dimension ref="A1:S97"/>
  <sheetViews>
    <sheetView topLeftCell="A43" workbookViewId="0">
      <selection activeCell="P80" sqref="P80"/>
    </sheetView>
  </sheetViews>
  <sheetFormatPr defaultRowHeight="14.4" x14ac:dyDescent="0.3"/>
  <cols>
    <col min="2" max="2" width="23.109375" customWidth="1"/>
    <col min="3" max="3" width="15.5546875" customWidth="1"/>
    <col min="4" max="4" width="10.88671875" customWidth="1"/>
    <col min="5" max="5" width="10.5546875" customWidth="1"/>
    <col min="6" max="6" width="10.6640625" style="133" customWidth="1"/>
    <col min="7" max="7" width="11.33203125" customWidth="1"/>
    <col min="8" max="8" width="12.33203125" style="133" customWidth="1"/>
    <col min="10" max="10" width="14.88671875" style="133" customWidth="1"/>
    <col min="13" max="13" width="31.33203125" customWidth="1"/>
  </cols>
  <sheetData>
    <row r="1" spans="1:16" x14ac:dyDescent="0.3">
      <c r="B1" s="454" t="s">
        <v>502</v>
      </c>
      <c r="O1" s="241">
        <f>IF($B$1="Клиент БЕЗ НДС", 1, 1.2)</f>
        <v>1</v>
      </c>
    </row>
    <row r="2" spans="1:16" x14ac:dyDescent="0.3">
      <c r="A2" s="666" t="s">
        <v>287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</row>
    <row r="3" spans="1:16" x14ac:dyDescent="0.3">
      <c r="A3" s="674" t="s">
        <v>442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0" t="s">
        <v>288</v>
      </c>
    </row>
    <row r="4" spans="1:16" ht="15" thickBot="1" x14ac:dyDescent="0.35">
      <c r="A4" s="169" t="s">
        <v>115</v>
      </c>
      <c r="B4" s="169" t="s">
        <v>5</v>
      </c>
      <c r="C4" s="169" t="s">
        <v>2</v>
      </c>
      <c r="D4" s="169" t="s">
        <v>4</v>
      </c>
      <c r="E4" s="169" t="s">
        <v>1</v>
      </c>
      <c r="F4" s="170" t="s">
        <v>3</v>
      </c>
      <c r="G4" s="169" t="s">
        <v>206</v>
      </c>
      <c r="H4" s="170" t="s">
        <v>270</v>
      </c>
      <c r="I4" s="171" t="s">
        <v>271</v>
      </c>
      <c r="J4" s="170" t="s">
        <v>272</v>
      </c>
      <c r="K4" s="673" t="s">
        <v>273</v>
      </c>
      <c r="L4" s="673"/>
      <c r="M4" s="172" t="s">
        <v>234</v>
      </c>
      <c r="N4" s="670"/>
    </row>
    <row r="5" spans="1:16" x14ac:dyDescent="0.3">
      <c r="A5" s="663">
        <v>1</v>
      </c>
      <c r="B5" s="455">
        <f>IFERROR(INDEX('Расчет фасадов'!$O$3:$O$12, A5),0)</f>
        <v>0</v>
      </c>
      <c r="C5" s="174"/>
      <c r="D5" s="174">
        <f>'Фасады EDGE'!G8</f>
        <v>0</v>
      </c>
      <c r="E5" s="174">
        <f>'Фасады EDGE'!I8</f>
        <v>0</v>
      </c>
      <c r="F5" s="175" t="e">
        <f>('Фасады EDGE'!$X$8/G5-F6*$O$1-F7*$O$1)/$O$1</f>
        <v>#DIV/0!</v>
      </c>
      <c r="G5" s="176">
        <f>'Фасады EDGE'!W8</f>
        <v>0</v>
      </c>
      <c r="H5" s="175" t="e">
        <f t="shared" ref="H5:H32" si="0">F5*G5</f>
        <v>#DIV/0!</v>
      </c>
      <c r="I5" s="177">
        <f>'Фасады EDGE'!$I$40</f>
        <v>0</v>
      </c>
      <c r="J5" s="175" t="e">
        <f>H5-H5*I5</f>
        <v>#DIV/0!</v>
      </c>
      <c r="K5" s="174"/>
      <c r="L5" s="174"/>
      <c r="M5" s="178" t="s">
        <v>508</v>
      </c>
      <c r="N5" s="670"/>
    </row>
    <row r="6" spans="1:16" x14ac:dyDescent="0.3">
      <c r="A6" s="664"/>
      <c r="B6" s="149">
        <f>'Расчет фасадов'!B25</f>
        <v>0</v>
      </c>
      <c r="C6" s="45"/>
      <c r="D6" s="45"/>
      <c r="E6" s="45"/>
      <c r="F6" s="130">
        <f>'Расчет фасадов'!$C$25/$O$1</f>
        <v>0</v>
      </c>
      <c r="G6" s="152">
        <f>'Расчет фасадов'!D25</f>
        <v>0</v>
      </c>
      <c r="H6" s="130">
        <f>'Расчет фасадов'!E25/$O$1</f>
        <v>0</v>
      </c>
      <c r="I6" s="304">
        <f>'Фасады EDGE'!$I$40</f>
        <v>0</v>
      </c>
      <c r="J6" s="130">
        <f>H6-H6*I6</f>
        <v>0</v>
      </c>
      <c r="K6" s="45"/>
      <c r="L6" s="45"/>
      <c r="M6" s="184" t="s">
        <v>625</v>
      </c>
      <c r="N6" s="670"/>
      <c r="O6" s="308"/>
    </row>
    <row r="7" spans="1:16" ht="15" thickBot="1" x14ac:dyDescent="0.35">
      <c r="A7" s="665"/>
      <c r="B7" s="456">
        <f>'Расчет фасадов'!B24</f>
        <v>0</v>
      </c>
      <c r="C7" s="169"/>
      <c r="D7" s="169"/>
      <c r="E7" s="169"/>
      <c r="F7" s="170">
        <f>'Расчет фасадов'!$C$24/$O$1</f>
        <v>0</v>
      </c>
      <c r="G7" s="305">
        <f>'Расчет фасадов'!D24</f>
        <v>0</v>
      </c>
      <c r="H7" s="170">
        <f>'Расчет фасадов'!E24/$O$1</f>
        <v>0</v>
      </c>
      <c r="I7" s="306">
        <f>'Фасады EDGE'!$I$40</f>
        <v>0</v>
      </c>
      <c r="J7" s="180">
        <f t="shared" ref="J7:J34" si="1">H7-H7*I7</f>
        <v>0</v>
      </c>
      <c r="K7" s="169"/>
      <c r="L7" s="169"/>
      <c r="M7" s="307" t="s">
        <v>626</v>
      </c>
      <c r="N7" s="670"/>
      <c r="O7" s="241"/>
    </row>
    <row r="8" spans="1:16" ht="16.5" customHeight="1" x14ac:dyDescent="0.3">
      <c r="A8" s="663">
        <v>2</v>
      </c>
      <c r="B8" s="455">
        <f>IFERROR(INDEX('Расчет фасадов'!$O$3:$O$12, A8),0)</f>
        <v>0</v>
      </c>
      <c r="C8" s="174"/>
      <c r="D8" s="174">
        <f>'Фасады EDGE'!G11</f>
        <v>0</v>
      </c>
      <c r="E8" s="174">
        <f>'Фасады EDGE'!I11</f>
        <v>0</v>
      </c>
      <c r="F8" s="175" t="e">
        <f>('Фасады EDGE'!$X$11/G8-F9*$O$1-F10*$O$1)/$O$1</f>
        <v>#DIV/0!</v>
      </c>
      <c r="G8" s="176">
        <f>'Фасады EDGE'!W11</f>
        <v>0</v>
      </c>
      <c r="H8" s="175" t="e">
        <f t="shared" si="0"/>
        <v>#DIV/0!</v>
      </c>
      <c r="I8" s="177">
        <f>'Фасады EDGE'!$I$40</f>
        <v>0</v>
      </c>
      <c r="J8" s="175" t="e">
        <f t="shared" si="1"/>
        <v>#DIV/0!</v>
      </c>
      <c r="K8" s="174"/>
      <c r="L8" s="174"/>
      <c r="M8" s="178" t="s">
        <v>509</v>
      </c>
      <c r="N8" s="670"/>
      <c r="O8" s="241"/>
      <c r="P8" s="133"/>
    </row>
    <row r="9" spans="1:16" ht="16.5" customHeight="1" x14ac:dyDescent="0.3">
      <c r="A9" s="664"/>
      <c r="B9" s="149">
        <f>'Расчет фасадов'!B57</f>
        <v>0</v>
      </c>
      <c r="C9" s="45"/>
      <c r="D9" s="45"/>
      <c r="E9" s="45"/>
      <c r="F9" s="130">
        <f>'Расчет фасадов'!$C$57/$O$1</f>
        <v>0</v>
      </c>
      <c r="G9" s="152">
        <f>'Расчет фасадов'!D57</f>
        <v>0</v>
      </c>
      <c r="H9" s="130">
        <f>'Расчет фасадов'!E57/$O$1</f>
        <v>0</v>
      </c>
      <c r="I9" s="304">
        <f>'Фасады EDGE'!$I$40</f>
        <v>0</v>
      </c>
      <c r="J9" s="130">
        <f>H9-H9*I9</f>
        <v>0</v>
      </c>
      <c r="K9" s="45"/>
      <c r="L9" s="45"/>
      <c r="M9" s="184" t="s">
        <v>627</v>
      </c>
      <c r="N9" s="670"/>
      <c r="O9" s="308"/>
    </row>
    <row r="10" spans="1:16" ht="15" thickBot="1" x14ac:dyDescent="0.35">
      <c r="A10" s="665"/>
      <c r="B10" s="456">
        <f>'Расчет фасадов'!B56</f>
        <v>0</v>
      </c>
      <c r="C10" s="169"/>
      <c r="D10" s="169"/>
      <c r="E10" s="169"/>
      <c r="F10" s="170">
        <f>'Расчет фасадов'!$C$56/$O$1</f>
        <v>0</v>
      </c>
      <c r="G10" s="305">
        <f>'Расчет фасадов'!D56</f>
        <v>0</v>
      </c>
      <c r="H10" s="170">
        <f>'Расчет фасадов'!E56/$O$1</f>
        <v>0</v>
      </c>
      <c r="I10" s="306">
        <f>'Фасады EDGE'!$I$40</f>
        <v>0</v>
      </c>
      <c r="J10" s="180">
        <f t="shared" si="1"/>
        <v>0</v>
      </c>
      <c r="K10" s="169"/>
      <c r="L10" s="169"/>
      <c r="M10" s="307" t="s">
        <v>628</v>
      </c>
      <c r="N10" s="670"/>
      <c r="O10" s="241"/>
    </row>
    <row r="11" spans="1:16" x14ac:dyDescent="0.3">
      <c r="A11" s="663">
        <v>3</v>
      </c>
      <c r="B11" s="455">
        <f>IFERROR(INDEX('Расчет фасадов'!$O$3:$O$12, A11),0)</f>
        <v>0</v>
      </c>
      <c r="C11" s="174"/>
      <c r="D11" s="174">
        <f>'Фасады EDGE'!G14</f>
        <v>0</v>
      </c>
      <c r="E11" s="174">
        <f>'Фасады EDGE'!I14</f>
        <v>0</v>
      </c>
      <c r="F11" s="175" t="e">
        <f>('Фасады EDGE'!$X$14/G11-F12*$O$1-F13*$O$1)/$O$1</f>
        <v>#DIV/0!</v>
      </c>
      <c r="G11" s="176">
        <f>'Фасады EDGE'!W14</f>
        <v>0</v>
      </c>
      <c r="H11" s="175" t="e">
        <f t="shared" si="0"/>
        <v>#DIV/0!</v>
      </c>
      <c r="I11" s="177">
        <f>'Фасады EDGE'!$I$40</f>
        <v>0</v>
      </c>
      <c r="J11" s="175" t="e">
        <f t="shared" si="1"/>
        <v>#DIV/0!</v>
      </c>
      <c r="K11" s="174"/>
      <c r="L11" s="174"/>
      <c r="M11" s="178" t="s">
        <v>510</v>
      </c>
      <c r="N11" s="670"/>
      <c r="O11" s="241"/>
    </row>
    <row r="12" spans="1:16" x14ac:dyDescent="0.3">
      <c r="A12" s="664"/>
      <c r="B12" s="149">
        <f>'Расчет фасадов'!B89</f>
        <v>0</v>
      </c>
      <c r="C12" s="45"/>
      <c r="D12" s="45"/>
      <c r="E12" s="45"/>
      <c r="F12" s="130">
        <f>'Расчет фасадов'!$C$89/$O$1</f>
        <v>0</v>
      </c>
      <c r="G12" s="152">
        <f>'Расчет фасадов'!D89</f>
        <v>0</v>
      </c>
      <c r="H12" s="130">
        <f>'Расчет фасадов'!E89/$O$1</f>
        <v>0</v>
      </c>
      <c r="I12" s="304">
        <f>'Фасады EDGE'!$I$40</f>
        <v>0</v>
      </c>
      <c r="J12" s="130">
        <f>H12-H12*I12</f>
        <v>0</v>
      </c>
      <c r="K12" s="45"/>
      <c r="L12" s="45"/>
      <c r="M12" s="184" t="s">
        <v>630</v>
      </c>
      <c r="N12" s="670"/>
      <c r="O12" s="308"/>
    </row>
    <row r="13" spans="1:16" ht="15" thickBot="1" x14ac:dyDescent="0.35">
      <c r="A13" s="665"/>
      <c r="B13" s="456">
        <f>'Расчет фасадов'!B88</f>
        <v>0</v>
      </c>
      <c r="C13" s="169"/>
      <c r="D13" s="169"/>
      <c r="E13" s="169"/>
      <c r="F13" s="170">
        <f>'Расчет фасадов'!$C$88/$O$1</f>
        <v>0</v>
      </c>
      <c r="G13" s="305">
        <f>'Расчет фасадов'!D88</f>
        <v>0</v>
      </c>
      <c r="H13" s="170">
        <f>'Расчет фасадов'!E88/$O$1</f>
        <v>0</v>
      </c>
      <c r="I13" s="306">
        <f>'Фасады EDGE'!$I$40</f>
        <v>0</v>
      </c>
      <c r="J13" s="180">
        <f t="shared" si="1"/>
        <v>0</v>
      </c>
      <c r="K13" s="169"/>
      <c r="L13" s="169"/>
      <c r="M13" s="307" t="s">
        <v>629</v>
      </c>
      <c r="N13" s="670"/>
      <c r="O13" s="241"/>
    </row>
    <row r="14" spans="1:16" x14ac:dyDescent="0.3">
      <c r="A14" s="663">
        <v>4</v>
      </c>
      <c r="B14" s="455">
        <f>IFERROR(INDEX('Расчет фасадов'!$O$3:$O$12, A14),0)</f>
        <v>0</v>
      </c>
      <c r="C14" s="174"/>
      <c r="D14" s="174">
        <f>'Фасады EDGE'!G17</f>
        <v>0</v>
      </c>
      <c r="E14" s="174">
        <f>'Фасады EDGE'!I17</f>
        <v>0</v>
      </c>
      <c r="F14" s="175" t="e">
        <f>('Фасады EDGE'!$X$17/G14-F15*$O$1-F16*$O$1)/$O$1</f>
        <v>#DIV/0!</v>
      </c>
      <c r="G14" s="176">
        <f>'Фасады EDGE'!W17</f>
        <v>0</v>
      </c>
      <c r="H14" s="175" t="e">
        <f t="shared" si="0"/>
        <v>#DIV/0!</v>
      </c>
      <c r="I14" s="177">
        <f>'Фасады EDGE'!$I$40</f>
        <v>0</v>
      </c>
      <c r="J14" s="175" t="e">
        <f t="shared" si="1"/>
        <v>#DIV/0!</v>
      </c>
      <c r="K14" s="174"/>
      <c r="L14" s="174"/>
      <c r="M14" s="178" t="s">
        <v>511</v>
      </c>
      <c r="N14" s="670"/>
      <c r="O14" s="241"/>
    </row>
    <row r="15" spans="1:16" x14ac:dyDescent="0.3">
      <c r="A15" s="664"/>
      <c r="B15" s="149">
        <f>'Расчет фасадов'!B121</f>
        <v>0</v>
      </c>
      <c r="C15" s="45"/>
      <c r="D15" s="45"/>
      <c r="E15" s="45"/>
      <c r="F15" s="130">
        <f>'Расчет фасадов'!$C$121/$O$1</f>
        <v>0</v>
      </c>
      <c r="G15" s="152">
        <f>'Расчет фасадов'!D121</f>
        <v>0</v>
      </c>
      <c r="H15" s="130">
        <f>'Расчет фасадов'!E121/$O$1</f>
        <v>0</v>
      </c>
      <c r="I15" s="304">
        <f>'Фасады EDGE'!$I$40</f>
        <v>0</v>
      </c>
      <c r="J15" s="130">
        <f>H15-H15*I15</f>
        <v>0</v>
      </c>
      <c r="K15" s="45"/>
      <c r="L15" s="45"/>
      <c r="M15" s="184" t="s">
        <v>631</v>
      </c>
      <c r="N15" s="670"/>
      <c r="O15" s="308"/>
    </row>
    <row r="16" spans="1:16" ht="15" thickBot="1" x14ac:dyDescent="0.35">
      <c r="A16" s="665"/>
      <c r="B16" s="456">
        <f>'Расчет фасадов'!B120</f>
        <v>0</v>
      </c>
      <c r="C16" s="169"/>
      <c r="D16" s="169"/>
      <c r="E16" s="169"/>
      <c r="F16" s="170">
        <f>'Расчет фасадов'!$C$120/$O$1</f>
        <v>0</v>
      </c>
      <c r="G16" s="305">
        <f>'Расчет фасадов'!D120</f>
        <v>0</v>
      </c>
      <c r="H16" s="170">
        <f>'Расчет фасадов'!E120/$O$1</f>
        <v>0</v>
      </c>
      <c r="I16" s="306">
        <f>'Фасады EDGE'!$I$40</f>
        <v>0</v>
      </c>
      <c r="J16" s="180">
        <f t="shared" si="1"/>
        <v>0</v>
      </c>
      <c r="K16" s="169"/>
      <c r="L16" s="169"/>
      <c r="M16" s="307" t="s">
        <v>632</v>
      </c>
      <c r="N16" s="670"/>
      <c r="O16" s="241"/>
    </row>
    <row r="17" spans="1:15" x14ac:dyDescent="0.3">
      <c r="A17" s="663">
        <v>5</v>
      </c>
      <c r="B17" s="455">
        <f>IFERROR(INDEX('Расчет фасадов'!$O$3:$O$12, A17),0)</f>
        <v>0</v>
      </c>
      <c r="C17" s="174"/>
      <c r="D17" s="174">
        <f>'Фасады EDGE'!G20</f>
        <v>0</v>
      </c>
      <c r="E17" s="174">
        <f>'Фасады EDGE'!I20</f>
        <v>0</v>
      </c>
      <c r="F17" s="175" t="e">
        <f>('Фасады EDGE'!$X$20/G17-F18*$O$1-F19*$O$1)/$O$1</f>
        <v>#DIV/0!</v>
      </c>
      <c r="G17" s="176">
        <f>'Фасады EDGE'!W20</f>
        <v>0</v>
      </c>
      <c r="H17" s="175" t="e">
        <f t="shared" si="0"/>
        <v>#DIV/0!</v>
      </c>
      <c r="I17" s="177">
        <f>'Фасады EDGE'!$I$40</f>
        <v>0</v>
      </c>
      <c r="J17" s="175" t="e">
        <f t="shared" si="1"/>
        <v>#DIV/0!</v>
      </c>
      <c r="K17" s="174"/>
      <c r="L17" s="174"/>
      <c r="M17" s="178" t="s">
        <v>512</v>
      </c>
      <c r="N17" s="670"/>
      <c r="O17" s="241"/>
    </row>
    <row r="18" spans="1:15" x14ac:dyDescent="0.3">
      <c r="A18" s="664"/>
      <c r="B18" s="149">
        <f>'Расчет фасадов'!B153</f>
        <v>0</v>
      </c>
      <c r="C18" s="45"/>
      <c r="D18" s="45"/>
      <c r="E18" s="45"/>
      <c r="F18" s="130">
        <f>'Расчет фасадов'!$C$153/$O$1</f>
        <v>0</v>
      </c>
      <c r="G18" s="152">
        <f>'Расчет фасадов'!D153</f>
        <v>0</v>
      </c>
      <c r="H18" s="130">
        <f>'Расчет фасадов'!E153/$O$1</f>
        <v>0</v>
      </c>
      <c r="I18" s="304">
        <f>'Фасады EDGE'!$I$40</f>
        <v>0</v>
      </c>
      <c r="J18" s="130">
        <f>H18-H18*I18</f>
        <v>0</v>
      </c>
      <c r="K18" s="45"/>
      <c r="L18" s="45"/>
      <c r="M18" s="184" t="s">
        <v>633</v>
      </c>
      <c r="N18" s="670"/>
      <c r="O18" s="308"/>
    </row>
    <row r="19" spans="1:15" ht="15" thickBot="1" x14ac:dyDescent="0.35">
      <c r="A19" s="665"/>
      <c r="B19" s="456">
        <f>'Расчет фасадов'!B152</f>
        <v>0</v>
      </c>
      <c r="C19" s="169"/>
      <c r="D19" s="169"/>
      <c r="E19" s="169"/>
      <c r="F19" s="170">
        <f>'Расчет фасадов'!$C$152/$O$1</f>
        <v>0</v>
      </c>
      <c r="G19" s="305">
        <f>'Расчет фасадов'!D152</f>
        <v>0</v>
      </c>
      <c r="H19" s="170">
        <f>'Расчет фасадов'!E152/$O$1</f>
        <v>0</v>
      </c>
      <c r="I19" s="306">
        <f>'Фасады EDGE'!$I$40</f>
        <v>0</v>
      </c>
      <c r="J19" s="180">
        <f t="shared" si="1"/>
        <v>0</v>
      </c>
      <c r="K19" s="169"/>
      <c r="L19" s="169"/>
      <c r="M19" s="307" t="s">
        <v>634</v>
      </c>
      <c r="N19" s="670"/>
      <c r="O19" s="241"/>
    </row>
    <row r="20" spans="1:15" x14ac:dyDescent="0.3">
      <c r="A20" s="663">
        <v>6</v>
      </c>
      <c r="B20" s="455">
        <f>IFERROR(INDEX('Расчет фасадов'!$O$3:$O$12, A20),0)</f>
        <v>0</v>
      </c>
      <c r="C20" s="174"/>
      <c r="D20" s="174">
        <f>'Фасады EDGE'!G23</f>
        <v>0</v>
      </c>
      <c r="E20" s="174">
        <f>'Фасады EDGE'!I23</f>
        <v>0</v>
      </c>
      <c r="F20" s="175" t="e">
        <f>('Фасады EDGE'!$X$23/G20-F21*$O$1-F22*$O$1)/$O$1</f>
        <v>#DIV/0!</v>
      </c>
      <c r="G20" s="176">
        <f>'Фасады EDGE'!W23</f>
        <v>0</v>
      </c>
      <c r="H20" s="175" t="e">
        <f t="shared" si="0"/>
        <v>#DIV/0!</v>
      </c>
      <c r="I20" s="177">
        <f>'Фасады EDGE'!$I$40</f>
        <v>0</v>
      </c>
      <c r="J20" s="175" t="e">
        <f t="shared" si="1"/>
        <v>#DIV/0!</v>
      </c>
      <c r="K20" s="174"/>
      <c r="L20" s="174"/>
      <c r="M20" s="178" t="s">
        <v>513</v>
      </c>
      <c r="N20" s="670"/>
      <c r="O20" s="241"/>
    </row>
    <row r="21" spans="1:15" x14ac:dyDescent="0.3">
      <c r="A21" s="664"/>
      <c r="B21" s="149">
        <f>'Расчет фасадов'!B185</f>
        <v>0</v>
      </c>
      <c r="C21" s="45"/>
      <c r="D21" s="45"/>
      <c r="E21" s="45"/>
      <c r="F21" s="130">
        <f>'Расчет фасадов'!$C$185/$O$1</f>
        <v>0</v>
      </c>
      <c r="G21" s="152">
        <f>'Расчет фасадов'!D185</f>
        <v>0</v>
      </c>
      <c r="H21" s="130">
        <f>'Расчет фасадов'!E185/$O$1</f>
        <v>0</v>
      </c>
      <c r="I21" s="304">
        <f>'Фасады EDGE'!$I$40</f>
        <v>0</v>
      </c>
      <c r="J21" s="130">
        <f>H21-H21*I21</f>
        <v>0</v>
      </c>
      <c r="K21" s="45"/>
      <c r="L21" s="45"/>
      <c r="M21" s="184" t="s">
        <v>635</v>
      </c>
      <c r="N21" s="670"/>
      <c r="O21" s="308"/>
    </row>
    <row r="22" spans="1:15" ht="15" thickBot="1" x14ac:dyDescent="0.35">
      <c r="A22" s="665"/>
      <c r="B22" s="456">
        <f>'Расчет фасадов'!B184</f>
        <v>0</v>
      </c>
      <c r="C22" s="169"/>
      <c r="D22" s="169"/>
      <c r="E22" s="169"/>
      <c r="F22" s="170">
        <f>'Расчет фасадов'!$C$184/$O$1</f>
        <v>0</v>
      </c>
      <c r="G22" s="305">
        <f>'Расчет фасадов'!D184</f>
        <v>0</v>
      </c>
      <c r="H22" s="170">
        <f>'Расчет фасадов'!E184/$O$1</f>
        <v>0</v>
      </c>
      <c r="I22" s="306">
        <f>'Фасады EDGE'!$I$40</f>
        <v>0</v>
      </c>
      <c r="J22" s="180">
        <f t="shared" si="1"/>
        <v>0</v>
      </c>
      <c r="K22" s="169"/>
      <c r="L22" s="169"/>
      <c r="M22" s="307" t="s">
        <v>636</v>
      </c>
      <c r="N22" s="670"/>
      <c r="O22" s="241"/>
    </row>
    <row r="23" spans="1:15" x14ac:dyDescent="0.3">
      <c r="A23" s="663">
        <v>7</v>
      </c>
      <c r="B23" s="455">
        <f>IFERROR(INDEX('Расчет фасадов'!$O$3:$O$12, A23),0)</f>
        <v>0</v>
      </c>
      <c r="C23" s="174"/>
      <c r="D23" s="174">
        <f>'Фасады EDGE'!G26</f>
        <v>0</v>
      </c>
      <c r="E23" s="174">
        <f>'Фасады EDGE'!I26</f>
        <v>0</v>
      </c>
      <c r="F23" s="175" t="e">
        <f>('Фасады EDGE'!$X$26/G23-F24*$O$1-F25*$O$1)/$O$1</f>
        <v>#DIV/0!</v>
      </c>
      <c r="G23" s="176">
        <f>'Фасады EDGE'!W26</f>
        <v>0</v>
      </c>
      <c r="H23" s="175" t="e">
        <f t="shared" si="0"/>
        <v>#DIV/0!</v>
      </c>
      <c r="I23" s="177">
        <f>'Фасады EDGE'!$I$40</f>
        <v>0</v>
      </c>
      <c r="J23" s="175" t="e">
        <f t="shared" si="1"/>
        <v>#DIV/0!</v>
      </c>
      <c r="K23" s="174"/>
      <c r="L23" s="174"/>
      <c r="M23" s="178" t="s">
        <v>514</v>
      </c>
      <c r="N23" s="670"/>
      <c r="O23" s="241"/>
    </row>
    <row r="24" spans="1:15" x14ac:dyDescent="0.3">
      <c r="A24" s="664"/>
      <c r="B24" s="149">
        <f>'Расчет фасадов'!B217</f>
        <v>0</v>
      </c>
      <c r="C24" s="45"/>
      <c r="D24" s="45"/>
      <c r="E24" s="45"/>
      <c r="F24" s="130">
        <f>'Расчет фасадов'!$C$217/$O$1</f>
        <v>0</v>
      </c>
      <c r="G24" s="152">
        <f>'Расчет фасадов'!D217</f>
        <v>0</v>
      </c>
      <c r="H24" s="130">
        <f>'Расчет фасадов'!E217/$O$1</f>
        <v>0</v>
      </c>
      <c r="I24" s="304">
        <f>'Фасады EDGE'!$I$40</f>
        <v>0</v>
      </c>
      <c r="J24" s="130">
        <f>H24-H24*I24</f>
        <v>0</v>
      </c>
      <c r="K24" s="45"/>
      <c r="L24" s="45"/>
      <c r="M24" s="184" t="s">
        <v>637</v>
      </c>
      <c r="N24" s="670"/>
      <c r="O24" s="308"/>
    </row>
    <row r="25" spans="1:15" ht="15" thickBot="1" x14ac:dyDescent="0.35">
      <c r="A25" s="665"/>
      <c r="B25" s="456">
        <f>'Расчет фасадов'!B216</f>
        <v>0</v>
      </c>
      <c r="C25" s="169"/>
      <c r="D25" s="169"/>
      <c r="E25" s="169"/>
      <c r="F25" s="170">
        <f>'Расчет фасадов'!$C$216/$O$1</f>
        <v>0</v>
      </c>
      <c r="G25" s="305">
        <f>'Расчет фасадов'!D216</f>
        <v>0</v>
      </c>
      <c r="H25" s="170">
        <f>'Расчет фасадов'!E216/$O$1</f>
        <v>0</v>
      </c>
      <c r="I25" s="306">
        <f>'Фасады EDGE'!$I$40</f>
        <v>0</v>
      </c>
      <c r="J25" s="180">
        <f t="shared" si="1"/>
        <v>0</v>
      </c>
      <c r="K25" s="169"/>
      <c r="L25" s="169"/>
      <c r="M25" s="307" t="s">
        <v>638</v>
      </c>
      <c r="N25" s="670"/>
      <c r="O25" s="241"/>
    </row>
    <row r="26" spans="1:15" x14ac:dyDescent="0.3">
      <c r="A26" s="663">
        <v>8</v>
      </c>
      <c r="B26" s="455">
        <f>IFERROR(INDEX('Расчет фасадов'!$O$3:$O$12, A26),0)</f>
        <v>0</v>
      </c>
      <c r="C26" s="174"/>
      <c r="D26" s="174">
        <f>'Фасады EDGE'!G29</f>
        <v>0</v>
      </c>
      <c r="E26" s="174">
        <f>'Фасады EDGE'!I29</f>
        <v>0</v>
      </c>
      <c r="F26" s="175" t="e">
        <f>('Фасады EDGE'!$X$29/G26-F27*$O$1-F28*$O$1)/$O$1</f>
        <v>#DIV/0!</v>
      </c>
      <c r="G26" s="176">
        <f>'Фасады EDGE'!W29</f>
        <v>0</v>
      </c>
      <c r="H26" s="175" t="e">
        <f t="shared" si="0"/>
        <v>#DIV/0!</v>
      </c>
      <c r="I26" s="177">
        <f>'Фасады EDGE'!$I$40</f>
        <v>0</v>
      </c>
      <c r="J26" s="175" t="e">
        <f t="shared" si="1"/>
        <v>#DIV/0!</v>
      </c>
      <c r="K26" s="174"/>
      <c r="L26" s="174"/>
      <c r="M26" s="178" t="s">
        <v>515</v>
      </c>
      <c r="N26" s="670"/>
      <c r="O26" s="241"/>
    </row>
    <row r="27" spans="1:15" x14ac:dyDescent="0.3">
      <c r="A27" s="664"/>
      <c r="B27" s="149">
        <f>'Расчет фасадов'!B249</f>
        <v>0</v>
      </c>
      <c r="C27" s="45"/>
      <c r="D27" s="45"/>
      <c r="E27" s="45"/>
      <c r="F27" s="130">
        <f>'Расчет фасадов'!$C$249/$O$1</f>
        <v>0</v>
      </c>
      <c r="G27" s="152">
        <f>'Расчет фасадов'!D249</f>
        <v>0</v>
      </c>
      <c r="H27" s="130">
        <f>'Расчет фасадов'!E249/$O$1</f>
        <v>0</v>
      </c>
      <c r="I27" s="304">
        <f>'Фасады EDGE'!$I$40</f>
        <v>0</v>
      </c>
      <c r="J27" s="130">
        <f>H27-H27*I27</f>
        <v>0</v>
      </c>
      <c r="K27" s="45"/>
      <c r="L27" s="45"/>
      <c r="M27" s="184" t="s">
        <v>639</v>
      </c>
      <c r="N27" s="670"/>
      <c r="O27" s="308"/>
    </row>
    <row r="28" spans="1:15" ht="15" thickBot="1" x14ac:dyDescent="0.35">
      <c r="A28" s="665"/>
      <c r="B28" s="456">
        <f>'Расчет фасадов'!B248</f>
        <v>0</v>
      </c>
      <c r="C28" s="169"/>
      <c r="D28" s="169"/>
      <c r="E28" s="169"/>
      <c r="F28" s="170">
        <f>'Расчет фасадов'!$C$248/$O$1</f>
        <v>0</v>
      </c>
      <c r="G28" s="305">
        <f>'Расчет фасадов'!D248</f>
        <v>0</v>
      </c>
      <c r="H28" s="170">
        <f>'Расчет фасадов'!E248/$O$1</f>
        <v>0</v>
      </c>
      <c r="I28" s="306">
        <f>'Фасады EDGE'!$I$40</f>
        <v>0</v>
      </c>
      <c r="J28" s="180">
        <f t="shared" si="1"/>
        <v>0</v>
      </c>
      <c r="K28" s="169"/>
      <c r="L28" s="169"/>
      <c r="M28" s="307" t="s">
        <v>640</v>
      </c>
      <c r="N28" s="670"/>
      <c r="O28" s="241"/>
    </row>
    <row r="29" spans="1:15" x14ac:dyDescent="0.3">
      <c r="A29" s="663">
        <v>9</v>
      </c>
      <c r="B29" s="455">
        <f>IFERROR(INDEX('Расчет фасадов'!$O$3:$O$12, A29),0)</f>
        <v>0</v>
      </c>
      <c r="C29" s="174"/>
      <c r="D29" s="174">
        <f>'Фасады EDGE'!G32</f>
        <v>0</v>
      </c>
      <c r="E29" s="174">
        <f>'Фасады EDGE'!I32</f>
        <v>0</v>
      </c>
      <c r="F29" s="175" t="e">
        <f>('Фасады EDGE'!$X$32/G29-F30*$O$1-F31*$O$1)/$O$1</f>
        <v>#DIV/0!</v>
      </c>
      <c r="G29" s="176">
        <f>'Фасады EDGE'!W32</f>
        <v>0</v>
      </c>
      <c r="H29" s="175" t="e">
        <f t="shared" si="0"/>
        <v>#DIV/0!</v>
      </c>
      <c r="I29" s="177">
        <f>'Фасады EDGE'!$I$40</f>
        <v>0</v>
      </c>
      <c r="J29" s="175" t="e">
        <f t="shared" si="1"/>
        <v>#DIV/0!</v>
      </c>
      <c r="K29" s="174"/>
      <c r="L29" s="174"/>
      <c r="M29" s="178" t="s">
        <v>516</v>
      </c>
      <c r="N29" s="670"/>
      <c r="O29" s="241"/>
    </row>
    <row r="30" spans="1:15" x14ac:dyDescent="0.3">
      <c r="A30" s="664"/>
      <c r="B30" s="149">
        <f>'Расчет фасадов'!B281</f>
        <v>0</v>
      </c>
      <c r="C30" s="45"/>
      <c r="D30" s="45"/>
      <c r="E30" s="45"/>
      <c r="F30" s="130">
        <f>'Расчет фасадов'!$C$281/$O$1</f>
        <v>0</v>
      </c>
      <c r="G30" s="152">
        <f>'Расчет фасадов'!D281</f>
        <v>0</v>
      </c>
      <c r="H30" s="130">
        <f>'Расчет фасадов'!E281/$O$1</f>
        <v>0</v>
      </c>
      <c r="I30" s="304">
        <f>'Фасады EDGE'!$I$40</f>
        <v>0</v>
      </c>
      <c r="J30" s="130">
        <f>H30-H30*I30</f>
        <v>0</v>
      </c>
      <c r="K30" s="45"/>
      <c r="L30" s="45"/>
      <c r="M30" s="184" t="s">
        <v>641</v>
      </c>
      <c r="N30" s="670"/>
      <c r="O30" s="308"/>
    </row>
    <row r="31" spans="1:15" ht="15" thickBot="1" x14ac:dyDescent="0.35">
      <c r="A31" s="665"/>
      <c r="B31" s="456">
        <f>'Расчет фасадов'!B280</f>
        <v>0</v>
      </c>
      <c r="C31" s="169"/>
      <c r="D31" s="169"/>
      <c r="E31" s="169"/>
      <c r="F31" s="170">
        <f>'Расчет фасадов'!$C$280/$O$1</f>
        <v>0</v>
      </c>
      <c r="G31" s="305">
        <f>'Расчет фасадов'!D280</f>
        <v>0</v>
      </c>
      <c r="H31" s="170">
        <f>'Расчет фасадов'!E280/$O$1</f>
        <v>0</v>
      </c>
      <c r="I31" s="306">
        <f>'Фасады EDGE'!$I$40</f>
        <v>0</v>
      </c>
      <c r="J31" s="180">
        <f t="shared" si="1"/>
        <v>0</v>
      </c>
      <c r="K31" s="169"/>
      <c r="L31" s="169"/>
      <c r="M31" s="307" t="s">
        <v>642</v>
      </c>
      <c r="N31" s="670"/>
      <c r="O31" s="241"/>
    </row>
    <row r="32" spans="1:15" x14ac:dyDescent="0.3">
      <c r="A32" s="663">
        <v>10</v>
      </c>
      <c r="B32" s="455">
        <f>IFERROR(INDEX('Расчет фасадов'!$O$3:$O$12, A32),0)</f>
        <v>0</v>
      </c>
      <c r="C32" s="174"/>
      <c r="D32" s="174">
        <f>'Фасады EDGE'!G35</f>
        <v>0</v>
      </c>
      <c r="E32" s="174">
        <f>'Фасады EDGE'!I35</f>
        <v>0</v>
      </c>
      <c r="F32" s="175" t="e">
        <f>('Фасады EDGE'!$X$35/G32-F33*$O$1-F34*$O$1)/$O$1</f>
        <v>#DIV/0!</v>
      </c>
      <c r="G32" s="176">
        <f>'Фасады EDGE'!W35</f>
        <v>0</v>
      </c>
      <c r="H32" s="175" t="e">
        <f t="shared" si="0"/>
        <v>#DIV/0!</v>
      </c>
      <c r="I32" s="177">
        <f>'Фасады EDGE'!$I$40</f>
        <v>0</v>
      </c>
      <c r="J32" s="175" t="e">
        <f t="shared" si="1"/>
        <v>#DIV/0!</v>
      </c>
      <c r="K32" s="174"/>
      <c r="L32" s="174"/>
      <c r="M32" s="178" t="s">
        <v>517</v>
      </c>
      <c r="N32" s="670"/>
      <c r="O32" s="241"/>
    </row>
    <row r="33" spans="1:19" x14ac:dyDescent="0.3">
      <c r="A33" s="664"/>
      <c r="B33" s="149">
        <f>'Расчет фасадов'!B313</f>
        <v>0</v>
      </c>
      <c r="C33" s="45"/>
      <c r="D33" s="45"/>
      <c r="E33" s="45"/>
      <c r="F33" s="130">
        <f>'Расчет фасадов'!$C$313/$O$1</f>
        <v>0</v>
      </c>
      <c r="G33" s="152">
        <f>'Расчет фасадов'!D313</f>
        <v>0</v>
      </c>
      <c r="H33" s="130">
        <f>'Расчет фасадов'!E313/$O$1</f>
        <v>0</v>
      </c>
      <c r="I33" s="304">
        <f>'Фасады EDGE'!$I$40</f>
        <v>0</v>
      </c>
      <c r="J33" s="130">
        <f>H33-H33*I33</f>
        <v>0</v>
      </c>
      <c r="K33" s="45"/>
      <c r="L33" s="45"/>
      <c r="M33" s="184" t="s">
        <v>691</v>
      </c>
      <c r="N33" s="670"/>
      <c r="O33" s="308"/>
    </row>
    <row r="34" spans="1:19" ht="15" thickBot="1" x14ac:dyDescent="0.35">
      <c r="A34" s="665"/>
      <c r="B34" s="457">
        <f>'Расчет фасадов'!B312</f>
        <v>0</v>
      </c>
      <c r="C34" s="179"/>
      <c r="D34" s="179"/>
      <c r="E34" s="179"/>
      <c r="F34" s="180">
        <f>'Расчет фасадов'!$C$312/$O$1</f>
        <v>0</v>
      </c>
      <c r="G34" s="452">
        <f>'Расчет фасадов'!D312</f>
        <v>0</v>
      </c>
      <c r="H34" s="180">
        <f>'Расчет фасадов'!E312/$O$1</f>
        <v>0</v>
      </c>
      <c r="I34" s="453">
        <f>'Фасады EDGE'!$I$40</f>
        <v>0</v>
      </c>
      <c r="J34" s="180">
        <f t="shared" si="1"/>
        <v>0</v>
      </c>
      <c r="K34" s="179"/>
      <c r="L34" s="179"/>
      <c r="M34" s="181" t="s">
        <v>692</v>
      </c>
      <c r="N34" s="670"/>
      <c r="O34" s="241"/>
    </row>
    <row r="35" spans="1:19" x14ac:dyDescent="0.3">
      <c r="A35" s="204"/>
      <c r="B35" s="458"/>
      <c r="G35" s="205"/>
      <c r="I35" s="206"/>
      <c r="N35" s="207"/>
      <c r="O35" s="241"/>
    </row>
    <row r="36" spans="1:19" x14ac:dyDescent="0.3">
      <c r="A36" s="204"/>
      <c r="B36" s="458"/>
      <c r="G36" s="205"/>
      <c r="I36" s="206"/>
      <c r="N36" s="207"/>
      <c r="O36" s="241"/>
    </row>
    <row r="37" spans="1:19" x14ac:dyDescent="0.3">
      <c r="A37" s="680" t="s">
        <v>693</v>
      </c>
      <c r="B37" s="680"/>
      <c r="C37" s="680"/>
      <c r="D37" s="680"/>
      <c r="E37" s="680"/>
      <c r="F37" s="680"/>
      <c r="G37" s="680"/>
      <c r="H37" s="680"/>
      <c r="I37" s="680"/>
      <c r="J37" s="680"/>
      <c r="K37" s="680"/>
      <c r="L37" s="680"/>
      <c r="M37" s="680"/>
      <c r="N37" s="670" t="s">
        <v>288</v>
      </c>
    </row>
    <row r="38" spans="1:19" ht="15" thickBot="1" x14ac:dyDescent="0.35">
      <c r="A38" s="169" t="s">
        <v>115</v>
      </c>
      <c r="B38" s="169" t="s">
        <v>5</v>
      </c>
      <c r="C38" s="169" t="s">
        <v>2</v>
      </c>
      <c r="D38" s="169" t="s">
        <v>4</v>
      </c>
      <c r="E38" s="169" t="s">
        <v>1</v>
      </c>
      <c r="F38" s="170" t="s">
        <v>3</v>
      </c>
      <c r="G38" s="169" t="s">
        <v>206</v>
      </c>
      <c r="H38" s="170" t="s">
        <v>270</v>
      </c>
      <c r="I38" s="171" t="s">
        <v>271</v>
      </c>
      <c r="J38" s="170" t="s">
        <v>272</v>
      </c>
      <c r="K38" s="673" t="s">
        <v>273</v>
      </c>
      <c r="L38" s="673"/>
      <c r="M38" s="172" t="s">
        <v>234</v>
      </c>
      <c r="N38" s="670"/>
    </row>
    <row r="39" spans="1:19" x14ac:dyDescent="0.3">
      <c r="A39" s="663">
        <v>1</v>
      </c>
      <c r="B39" s="455">
        <f>IFERROR(INDEX('Расчет фасадов MAX'!$O$3:$O$12, A5),0)</f>
        <v>0</v>
      </c>
      <c r="C39" s="174"/>
      <c r="D39" s="174">
        <f>'Фасады EDGE MAX'!G8</f>
        <v>0</v>
      </c>
      <c r="E39" s="174">
        <f>'Фасады EDGE MAX'!I8</f>
        <v>0</v>
      </c>
      <c r="F39" s="175" t="e">
        <f>('Фасады EDGE MAX'!$X$8/G39-F40*$O$1-F41*$O$1)/$O$1</f>
        <v>#DIV/0!</v>
      </c>
      <c r="G39" s="176">
        <f>'Фасады EDGE MAX'!W8</f>
        <v>0</v>
      </c>
      <c r="H39" s="175" t="e">
        <f>F39*G39</f>
        <v>#DIV/0!</v>
      </c>
      <c r="I39" s="177">
        <f>'Фасады EDGE MAX'!$I$40</f>
        <v>0</v>
      </c>
      <c r="J39" s="175" t="e">
        <f>H39-H39*I39</f>
        <v>#DIV/0!</v>
      </c>
      <c r="K39" s="174"/>
      <c r="L39" s="174"/>
      <c r="M39" s="178" t="s">
        <v>508</v>
      </c>
      <c r="N39" s="670"/>
    </row>
    <row r="40" spans="1:19" x14ac:dyDescent="0.3">
      <c r="A40" s="664"/>
      <c r="B40" s="149">
        <f>'Расчет фасадов MAX'!B25</f>
        <v>0</v>
      </c>
      <c r="C40" s="45"/>
      <c r="D40" s="45"/>
      <c r="E40" s="45"/>
      <c r="F40" s="130">
        <f>'Расчет фасадов MAX'!$C$25/$O$1</f>
        <v>0</v>
      </c>
      <c r="G40" s="152">
        <f>'Расчет фасадов MAX'!D25</f>
        <v>0</v>
      </c>
      <c r="H40" s="130">
        <f>'Расчет фасадов MAX'!E25/$O$1</f>
        <v>0</v>
      </c>
      <c r="I40" s="304">
        <f>'Фасады EDGE MAX'!$I$40</f>
        <v>0</v>
      </c>
      <c r="J40" s="130">
        <f>H40-H40*I40</f>
        <v>0</v>
      </c>
      <c r="K40" s="45"/>
      <c r="L40" s="45"/>
      <c r="M40" s="184" t="s">
        <v>625</v>
      </c>
      <c r="N40" s="670"/>
      <c r="O40" s="308">
        <f>'Расчет фасадов MAX'!B25</f>
        <v>0</v>
      </c>
    </row>
    <row r="41" spans="1:19" ht="15" thickBot="1" x14ac:dyDescent="0.35">
      <c r="A41" s="665"/>
      <c r="B41" s="456">
        <f>'Расчет фасадов MAX'!B24</f>
        <v>0</v>
      </c>
      <c r="C41" s="169"/>
      <c r="D41" s="169"/>
      <c r="E41" s="169"/>
      <c r="F41" s="170">
        <f>'Расчет фасадов MAX'!$C$24/$O$1</f>
        <v>0</v>
      </c>
      <c r="G41" s="305">
        <f>'Расчет фасадов MAX'!D24</f>
        <v>0</v>
      </c>
      <c r="H41" s="170">
        <f>'Расчет фасадов MAX'!E24/$O$1</f>
        <v>0</v>
      </c>
      <c r="I41" s="306">
        <f>'Фасады EDGE MAX'!$I$40</f>
        <v>0</v>
      </c>
      <c r="J41" s="180">
        <f t="shared" ref="J41:J68" si="2">H41-H41*I41</f>
        <v>0</v>
      </c>
      <c r="K41" s="169"/>
      <c r="L41" s="169"/>
      <c r="M41" s="307" t="s">
        <v>626</v>
      </c>
      <c r="N41" s="670"/>
      <c r="O41" s="241"/>
    </row>
    <row r="42" spans="1:19" x14ac:dyDescent="0.3">
      <c r="A42" s="663">
        <v>2</v>
      </c>
      <c r="B42" s="455">
        <f>IFERROR(INDEX('Расчет фасадов MAX'!$O$3:$O$12, A8),0)</f>
        <v>0</v>
      </c>
      <c r="C42" s="174"/>
      <c r="D42" s="174">
        <f>'Фасады EDGE MAX'!G11</f>
        <v>0</v>
      </c>
      <c r="E42" s="174">
        <f>'Фасады EDGE MAX'!I11</f>
        <v>0</v>
      </c>
      <c r="F42" s="175" t="e">
        <f>('Фасады EDGE MAX'!$X$11/G42-F43*$O$1-F44*$O$1)/$O$1</f>
        <v>#DIV/0!</v>
      </c>
      <c r="G42" s="176">
        <f>'Фасады EDGE MAX'!W11</f>
        <v>0</v>
      </c>
      <c r="H42" s="175" t="e">
        <f>F42*G42</f>
        <v>#DIV/0!</v>
      </c>
      <c r="I42" s="177">
        <f>'Фасады EDGE MAX'!$I$40</f>
        <v>0</v>
      </c>
      <c r="J42" s="175" t="e">
        <f t="shared" si="2"/>
        <v>#DIV/0!</v>
      </c>
      <c r="K42" s="174"/>
      <c r="L42" s="174"/>
      <c r="M42" s="178" t="s">
        <v>509</v>
      </c>
      <c r="N42" s="670"/>
      <c r="O42" s="241"/>
      <c r="P42" s="133"/>
    </row>
    <row r="43" spans="1:19" x14ac:dyDescent="0.3">
      <c r="A43" s="664"/>
      <c r="B43" s="149">
        <f>'Расчет фасадов MAX'!B57</f>
        <v>0</v>
      </c>
      <c r="C43" s="45"/>
      <c r="D43" s="45"/>
      <c r="E43" s="45"/>
      <c r="F43" s="130">
        <f>'Расчет фасадов MAX'!$C$57/$O$1</f>
        <v>0</v>
      </c>
      <c r="G43" s="152">
        <f>'Расчет фасадов MAX'!D57</f>
        <v>0</v>
      </c>
      <c r="H43" s="130">
        <f>'Расчет фасадов MAX'!E57/$O$1</f>
        <v>0</v>
      </c>
      <c r="I43" s="304">
        <f>'Фасады EDGE MAX'!$I$40</f>
        <v>0</v>
      </c>
      <c r="J43" s="130">
        <f>H43-H43*I43</f>
        <v>0</v>
      </c>
      <c r="K43" s="45"/>
      <c r="L43" s="45"/>
      <c r="M43" s="184" t="s">
        <v>627</v>
      </c>
      <c r="N43" s="670"/>
      <c r="O43" s="308">
        <f>'Расчет фасадов MAX'!B57</f>
        <v>0</v>
      </c>
      <c r="S43" s="133"/>
    </row>
    <row r="44" spans="1:19" ht="15" thickBot="1" x14ac:dyDescent="0.35">
      <c r="A44" s="665"/>
      <c r="B44" s="456">
        <f>'Расчет фасадов MAX'!B56</f>
        <v>0</v>
      </c>
      <c r="C44" s="169"/>
      <c r="D44" s="169"/>
      <c r="E44" s="169"/>
      <c r="F44" s="170">
        <f>'Расчет фасадов MAX'!$C$56/$O$1</f>
        <v>0</v>
      </c>
      <c r="G44" s="305">
        <f>'Расчет фасадов MAX'!D56</f>
        <v>0</v>
      </c>
      <c r="H44" s="170">
        <f>'Расчет фасадов MAX'!E56/$O$1</f>
        <v>0</v>
      </c>
      <c r="I44" s="306">
        <f>'Фасады EDGE MAX'!$I$40</f>
        <v>0</v>
      </c>
      <c r="J44" s="180">
        <f t="shared" si="2"/>
        <v>0</v>
      </c>
      <c r="K44" s="169"/>
      <c r="L44" s="169"/>
      <c r="M44" s="307" t="s">
        <v>628</v>
      </c>
      <c r="N44" s="670"/>
      <c r="O44" s="241"/>
    </row>
    <row r="45" spans="1:19" x14ac:dyDescent="0.3">
      <c r="A45" s="663">
        <v>3</v>
      </c>
      <c r="B45" s="455">
        <f>IFERROR(INDEX('Расчет фасадов MAX'!$O$3:$O$12, A11),0)</f>
        <v>0</v>
      </c>
      <c r="C45" s="174"/>
      <c r="D45" s="174">
        <f>'Фасады EDGE MAX'!G14</f>
        <v>0</v>
      </c>
      <c r="E45" s="174">
        <f>'Фасады EDGE MAX'!I14</f>
        <v>0</v>
      </c>
      <c r="F45" s="175" t="e">
        <f>('Фасады EDGE MAX'!$X$14/G45-F46*$O$1-F47*$O$1)/$O$1</f>
        <v>#DIV/0!</v>
      </c>
      <c r="G45" s="176">
        <f>'Фасады EDGE MAX'!W14</f>
        <v>0</v>
      </c>
      <c r="H45" s="175" t="e">
        <f>F45*G45</f>
        <v>#DIV/0!</v>
      </c>
      <c r="I45" s="177">
        <f>'Фасады EDGE MAX'!$I$40</f>
        <v>0</v>
      </c>
      <c r="J45" s="175" t="e">
        <f t="shared" si="2"/>
        <v>#DIV/0!</v>
      </c>
      <c r="K45" s="174"/>
      <c r="L45" s="174"/>
      <c r="M45" s="178" t="s">
        <v>510</v>
      </c>
      <c r="N45" s="670"/>
      <c r="O45" s="241"/>
    </row>
    <row r="46" spans="1:19" x14ac:dyDescent="0.3">
      <c r="A46" s="664"/>
      <c r="B46" s="149">
        <f>'Расчет фасадов MAX'!B89</f>
        <v>0</v>
      </c>
      <c r="C46" s="45"/>
      <c r="D46" s="45"/>
      <c r="E46" s="45"/>
      <c r="F46" s="130">
        <f>'Расчет фасадов MAX'!$C$89/$O$1</f>
        <v>0</v>
      </c>
      <c r="G46" s="152">
        <f>'Расчет фасадов MAX'!D89</f>
        <v>0</v>
      </c>
      <c r="H46" s="130">
        <f>'Расчет фасадов MAX'!E89/$O$1</f>
        <v>0</v>
      </c>
      <c r="I46" s="304">
        <f>'Фасады EDGE MAX'!$I$40</f>
        <v>0</v>
      </c>
      <c r="J46" s="130">
        <f>H46-H46*I46</f>
        <v>0</v>
      </c>
      <c r="K46" s="45"/>
      <c r="L46" s="45"/>
      <c r="M46" s="184" t="s">
        <v>630</v>
      </c>
      <c r="N46" s="670"/>
      <c r="O46" s="308">
        <f>'Расчет фасадов MAX'!B89</f>
        <v>0</v>
      </c>
    </row>
    <row r="47" spans="1:19" ht="15" thickBot="1" x14ac:dyDescent="0.35">
      <c r="A47" s="665"/>
      <c r="B47" s="456">
        <f>'Расчет фасадов MAX'!B88</f>
        <v>0</v>
      </c>
      <c r="C47" s="169"/>
      <c r="D47" s="169"/>
      <c r="E47" s="169"/>
      <c r="F47" s="170">
        <f>'Расчет фасадов MAX'!$C$88/$O$1</f>
        <v>0</v>
      </c>
      <c r="G47" s="305">
        <f>'Расчет фасадов MAX'!D88</f>
        <v>0</v>
      </c>
      <c r="H47" s="170">
        <f>'Расчет фасадов MAX'!E88/$O$1</f>
        <v>0</v>
      </c>
      <c r="I47" s="306">
        <f>'Фасады EDGE MAX'!$I$40</f>
        <v>0</v>
      </c>
      <c r="J47" s="180">
        <f t="shared" si="2"/>
        <v>0</v>
      </c>
      <c r="K47" s="169"/>
      <c r="L47" s="169"/>
      <c r="M47" s="307" t="s">
        <v>629</v>
      </c>
      <c r="N47" s="670"/>
      <c r="O47" s="241"/>
    </row>
    <row r="48" spans="1:19" x14ac:dyDescent="0.3">
      <c r="A48" s="663">
        <v>4</v>
      </c>
      <c r="B48" s="455">
        <f>IFERROR(INDEX('Расчет фасадов MAX'!$O$3:$O$12, A14),0)</f>
        <v>0</v>
      </c>
      <c r="C48" s="174"/>
      <c r="D48" s="174">
        <f>'Фасады EDGE MAX'!G17</f>
        <v>0</v>
      </c>
      <c r="E48" s="174">
        <f>'Фасады EDGE MAX'!I17</f>
        <v>0</v>
      </c>
      <c r="F48" s="175" t="e">
        <f>('Фасады EDGE MAX'!$X$17/G48-F49*$O$1-F50*$O$1)/$O$1</f>
        <v>#DIV/0!</v>
      </c>
      <c r="G48" s="176">
        <f>'Фасады EDGE MAX'!W17</f>
        <v>0</v>
      </c>
      <c r="H48" s="175" t="e">
        <f>F48*G48</f>
        <v>#DIV/0!</v>
      </c>
      <c r="I48" s="177">
        <f>'Фасады EDGE MAX'!$I$40</f>
        <v>0</v>
      </c>
      <c r="J48" s="175" t="e">
        <f t="shared" si="2"/>
        <v>#DIV/0!</v>
      </c>
      <c r="K48" s="174"/>
      <c r="L48" s="174"/>
      <c r="M48" s="178" t="s">
        <v>511</v>
      </c>
      <c r="N48" s="670"/>
      <c r="O48" s="241"/>
    </row>
    <row r="49" spans="1:19" x14ac:dyDescent="0.3">
      <c r="A49" s="664"/>
      <c r="B49" s="149">
        <f>'Расчет фасадов MAX'!B121</f>
        <v>0</v>
      </c>
      <c r="C49" s="45"/>
      <c r="D49" s="45"/>
      <c r="E49" s="45"/>
      <c r="F49" s="130">
        <f>'Расчет фасадов MAX'!$C$121/$O$1</f>
        <v>0</v>
      </c>
      <c r="G49" s="152">
        <f>'Расчет фасадов MAX'!D121</f>
        <v>0</v>
      </c>
      <c r="H49" s="130">
        <f>'Расчет фасадов MAX'!E121/$O$1</f>
        <v>0</v>
      </c>
      <c r="I49" s="304">
        <f>'Фасады EDGE MAX'!$I$40</f>
        <v>0</v>
      </c>
      <c r="J49" s="130">
        <f>H49-H49*I49</f>
        <v>0</v>
      </c>
      <c r="K49" s="45"/>
      <c r="L49" s="45"/>
      <c r="M49" s="184" t="s">
        <v>631</v>
      </c>
      <c r="N49" s="670"/>
      <c r="O49" s="308">
        <f>'Расчет фасадов MAX'!B121</f>
        <v>0</v>
      </c>
    </row>
    <row r="50" spans="1:19" ht="15" thickBot="1" x14ac:dyDescent="0.35">
      <c r="A50" s="665"/>
      <c r="B50" s="456">
        <f>'Расчет фасадов MAX'!B120</f>
        <v>0</v>
      </c>
      <c r="C50" s="169"/>
      <c r="D50" s="169"/>
      <c r="E50" s="169"/>
      <c r="F50" s="170">
        <f>'Расчет фасадов MAX'!$C$120/$O$1</f>
        <v>0</v>
      </c>
      <c r="G50" s="305">
        <f>'Расчет фасадов MAX'!D120</f>
        <v>0</v>
      </c>
      <c r="H50" s="170">
        <f>'Расчет фасадов MAX'!E120/$O$1</f>
        <v>0</v>
      </c>
      <c r="I50" s="306">
        <f>'Фасады EDGE MAX'!$I$40</f>
        <v>0</v>
      </c>
      <c r="J50" s="180">
        <f t="shared" si="2"/>
        <v>0</v>
      </c>
      <c r="K50" s="169"/>
      <c r="L50" s="169"/>
      <c r="M50" s="307" t="s">
        <v>632</v>
      </c>
      <c r="N50" s="670"/>
      <c r="O50" s="241"/>
    </row>
    <row r="51" spans="1:19" x14ac:dyDescent="0.3">
      <c r="A51" s="663">
        <v>5</v>
      </c>
      <c r="B51" s="455">
        <f>IFERROR(INDEX('Расчет фасадов MAX'!$O$3:$O$12, A17),0)</f>
        <v>0</v>
      </c>
      <c r="C51" s="174"/>
      <c r="D51" s="174">
        <f>'Фасады EDGE MAX'!G20</f>
        <v>0</v>
      </c>
      <c r="E51" s="174">
        <f>'Фасады EDGE MAX'!I20</f>
        <v>0</v>
      </c>
      <c r="F51" s="175" t="e">
        <f>('Фасады EDGE MAX'!$X$20/G51-F52*$O$1-F53*$O$1)/$O$1</f>
        <v>#DIV/0!</v>
      </c>
      <c r="G51" s="176">
        <f>'Фасады EDGE MAX'!W20</f>
        <v>0</v>
      </c>
      <c r="H51" s="175" t="e">
        <f>F51*G51</f>
        <v>#DIV/0!</v>
      </c>
      <c r="I51" s="177">
        <f>'Фасады EDGE MAX'!$I$40</f>
        <v>0</v>
      </c>
      <c r="J51" s="175" t="e">
        <f t="shared" si="2"/>
        <v>#DIV/0!</v>
      </c>
      <c r="K51" s="174"/>
      <c r="L51" s="174"/>
      <c r="M51" s="178" t="s">
        <v>512</v>
      </c>
      <c r="N51" s="670"/>
      <c r="O51" s="241"/>
    </row>
    <row r="52" spans="1:19" x14ac:dyDescent="0.3">
      <c r="A52" s="664"/>
      <c r="B52" s="149">
        <f>'Расчет фасадов MAX'!B153</f>
        <v>0</v>
      </c>
      <c r="C52" s="45"/>
      <c r="D52" s="45"/>
      <c r="E52" s="45"/>
      <c r="F52" s="130">
        <f>'Расчет фасадов MAX'!$C$153/$O$1</f>
        <v>0</v>
      </c>
      <c r="G52" s="152">
        <f>'Расчет фасадов MAX'!D153</f>
        <v>0</v>
      </c>
      <c r="H52" s="130">
        <f>'Расчет фасадов MAX'!E153/$O$1</f>
        <v>0</v>
      </c>
      <c r="I52" s="304">
        <f>'Фасады EDGE MAX'!$I$40</f>
        <v>0</v>
      </c>
      <c r="J52" s="130">
        <f>H52-H52*I52</f>
        <v>0</v>
      </c>
      <c r="K52" s="45"/>
      <c r="L52" s="45"/>
      <c r="M52" s="184" t="s">
        <v>633</v>
      </c>
      <c r="N52" s="670"/>
      <c r="O52" s="308">
        <f>'Расчет фасадов MAX'!B153</f>
        <v>0</v>
      </c>
    </row>
    <row r="53" spans="1:19" ht="15" thickBot="1" x14ac:dyDescent="0.35">
      <c r="A53" s="665"/>
      <c r="B53" s="456">
        <f>'Расчет фасадов MAX'!B152</f>
        <v>0</v>
      </c>
      <c r="C53" s="169"/>
      <c r="D53" s="169"/>
      <c r="E53" s="169"/>
      <c r="F53" s="170">
        <f>'Расчет фасадов MAX'!$C$152/$O$1</f>
        <v>0</v>
      </c>
      <c r="G53" s="305">
        <f>'Расчет фасадов MAX'!D152</f>
        <v>0</v>
      </c>
      <c r="H53" s="170">
        <f>'Расчет фасадов MAX'!E152/$O$1</f>
        <v>0</v>
      </c>
      <c r="I53" s="306">
        <f>'Фасады EDGE MAX'!$I$40</f>
        <v>0</v>
      </c>
      <c r="J53" s="180">
        <f t="shared" si="2"/>
        <v>0</v>
      </c>
      <c r="K53" s="169"/>
      <c r="L53" s="169"/>
      <c r="M53" s="307" t="s">
        <v>634</v>
      </c>
      <c r="N53" s="670"/>
      <c r="O53" s="241"/>
    </row>
    <row r="54" spans="1:19" x14ac:dyDescent="0.3">
      <c r="A54" s="663">
        <v>6</v>
      </c>
      <c r="B54" s="455">
        <f>IFERROR(INDEX('Расчет фасадов MAX'!$O$3:$O$12, A20),0)</f>
        <v>0</v>
      </c>
      <c r="C54" s="174"/>
      <c r="D54" s="174">
        <f>'Фасады EDGE MAX'!G23</f>
        <v>0</v>
      </c>
      <c r="E54" s="174">
        <f>'Фасады EDGE MAX'!I23</f>
        <v>0</v>
      </c>
      <c r="F54" s="175" t="e">
        <f>('Фасады EDGE MAX'!$X$23/G54-F55*$O$1-F56*$O$1)/$O$1</f>
        <v>#DIV/0!</v>
      </c>
      <c r="G54" s="176">
        <f>'Фасады EDGE MAX'!W23</f>
        <v>0</v>
      </c>
      <c r="H54" s="175" t="e">
        <f>F54*G54</f>
        <v>#DIV/0!</v>
      </c>
      <c r="I54" s="177">
        <f>'Фасады EDGE MAX'!$I$40</f>
        <v>0</v>
      </c>
      <c r="J54" s="175" t="e">
        <f t="shared" si="2"/>
        <v>#DIV/0!</v>
      </c>
      <c r="K54" s="174"/>
      <c r="L54" s="174"/>
      <c r="M54" s="178" t="s">
        <v>513</v>
      </c>
      <c r="N54" s="670"/>
      <c r="O54" s="241"/>
    </row>
    <row r="55" spans="1:19" x14ac:dyDescent="0.3">
      <c r="A55" s="664"/>
      <c r="B55" s="149">
        <f>'Расчет фасадов MAX'!B185</f>
        <v>0</v>
      </c>
      <c r="C55" s="45"/>
      <c r="D55" s="45"/>
      <c r="E55" s="45"/>
      <c r="F55" s="130">
        <f>'Расчет фасадов MAX'!$C$185/$O$1</f>
        <v>0</v>
      </c>
      <c r="G55" s="152">
        <f>'Расчет фасадов MAX'!D185</f>
        <v>0</v>
      </c>
      <c r="H55" s="130">
        <f>'Расчет фасадов MAX'!E185/$O$1</f>
        <v>0</v>
      </c>
      <c r="I55" s="304">
        <f>'Фасады EDGE MAX'!$I$40</f>
        <v>0</v>
      </c>
      <c r="J55" s="130">
        <f>H55-H55*I55</f>
        <v>0</v>
      </c>
      <c r="K55" s="45"/>
      <c r="L55" s="45"/>
      <c r="M55" s="184" t="s">
        <v>635</v>
      </c>
      <c r="N55" s="670"/>
      <c r="O55" s="308">
        <f>'Расчет фасадов MAX'!B185</f>
        <v>0</v>
      </c>
    </row>
    <row r="56" spans="1:19" ht="15" thickBot="1" x14ac:dyDescent="0.35">
      <c r="A56" s="665"/>
      <c r="B56" s="456">
        <f>'Расчет фасадов MAX'!B184</f>
        <v>0</v>
      </c>
      <c r="C56" s="169"/>
      <c r="D56" s="169"/>
      <c r="E56" s="169"/>
      <c r="F56" s="170">
        <f>'Расчет фасадов MAX'!$C$184/$O$1</f>
        <v>0</v>
      </c>
      <c r="G56" s="305">
        <f>'Расчет фасадов MAX'!D184</f>
        <v>0</v>
      </c>
      <c r="H56" s="170">
        <f>'Расчет фасадов MAX'!E184/$O$1</f>
        <v>0</v>
      </c>
      <c r="I56" s="306">
        <f>'Фасады EDGE MAX'!$I$40</f>
        <v>0</v>
      </c>
      <c r="J56" s="180">
        <f t="shared" si="2"/>
        <v>0</v>
      </c>
      <c r="K56" s="169"/>
      <c r="L56" s="169"/>
      <c r="M56" s="307" t="s">
        <v>636</v>
      </c>
      <c r="N56" s="670"/>
      <c r="O56" s="241"/>
    </row>
    <row r="57" spans="1:19" x14ac:dyDescent="0.3">
      <c r="A57" s="663">
        <v>7</v>
      </c>
      <c r="B57" s="455">
        <f>IFERROR(INDEX('Расчет фасадов MAX'!$O$3:$O$12, A23),0)</f>
        <v>0</v>
      </c>
      <c r="C57" s="174"/>
      <c r="D57" s="174">
        <f>'Фасады EDGE MAX'!G26</f>
        <v>0</v>
      </c>
      <c r="E57" s="174">
        <f>'Фасады EDGE MAX'!I26</f>
        <v>0</v>
      </c>
      <c r="F57" s="175" t="e">
        <f>('Фасады EDGE MAX'!$X$26/G57-F58*$O$1-F59*$O$1)/$O$1</f>
        <v>#DIV/0!</v>
      </c>
      <c r="G57" s="176">
        <f>'Фасады EDGE MAX'!W26</f>
        <v>0</v>
      </c>
      <c r="H57" s="175" t="e">
        <f>F57*G57</f>
        <v>#DIV/0!</v>
      </c>
      <c r="I57" s="177">
        <f>'Фасады EDGE MAX'!$I$40</f>
        <v>0</v>
      </c>
      <c r="J57" s="175" t="e">
        <f t="shared" si="2"/>
        <v>#DIV/0!</v>
      </c>
      <c r="K57" s="174"/>
      <c r="L57" s="174"/>
      <c r="M57" s="178" t="s">
        <v>514</v>
      </c>
      <c r="N57" s="670"/>
      <c r="O57" s="241"/>
      <c r="S57" s="133"/>
    </row>
    <row r="58" spans="1:19" x14ac:dyDescent="0.3">
      <c r="A58" s="664"/>
      <c r="B58" s="149">
        <f>'Расчет фасадов MAX'!B217</f>
        <v>0</v>
      </c>
      <c r="C58" s="45"/>
      <c r="D58" s="45"/>
      <c r="E58" s="45"/>
      <c r="F58" s="130">
        <f>'Расчет фасадов MAX'!$C$217/$O$1</f>
        <v>0</v>
      </c>
      <c r="G58" s="152">
        <f>'Расчет фасадов MAX'!D217</f>
        <v>0</v>
      </c>
      <c r="H58" s="130">
        <f>'Расчет фасадов MAX'!E217/$O$1</f>
        <v>0</v>
      </c>
      <c r="I58" s="304">
        <f>'Фасады EDGE MAX'!$I$40</f>
        <v>0</v>
      </c>
      <c r="J58" s="130">
        <f>H58-H58*I58</f>
        <v>0</v>
      </c>
      <c r="K58" s="45"/>
      <c r="L58" s="45"/>
      <c r="M58" s="184" t="s">
        <v>637</v>
      </c>
      <c r="N58" s="670"/>
      <c r="O58" s="308">
        <f>'Расчет фасадов MAX'!B217</f>
        <v>0</v>
      </c>
    </row>
    <row r="59" spans="1:19" ht="15" thickBot="1" x14ac:dyDescent="0.35">
      <c r="A59" s="665"/>
      <c r="B59" s="456">
        <f>'Расчет фасадов MAX'!B216</f>
        <v>0</v>
      </c>
      <c r="C59" s="169"/>
      <c r="D59" s="169"/>
      <c r="E59" s="169"/>
      <c r="F59" s="170">
        <f>'Расчет фасадов MAX'!$C$216/$O$1</f>
        <v>0</v>
      </c>
      <c r="G59" s="305">
        <f>'Расчет фасадов MAX'!D216</f>
        <v>0</v>
      </c>
      <c r="H59" s="170">
        <f>'Расчет фасадов MAX'!E216/$O$1</f>
        <v>0</v>
      </c>
      <c r="I59" s="306">
        <f>'Фасады EDGE MAX'!$I$40</f>
        <v>0</v>
      </c>
      <c r="J59" s="180">
        <f t="shared" si="2"/>
        <v>0</v>
      </c>
      <c r="K59" s="169"/>
      <c r="L59" s="169"/>
      <c r="M59" s="307" t="s">
        <v>638</v>
      </c>
      <c r="N59" s="670"/>
      <c r="O59" s="241"/>
    </row>
    <row r="60" spans="1:19" x14ac:dyDescent="0.3">
      <c r="A60" s="663">
        <v>8</v>
      </c>
      <c r="B60" s="455">
        <f>IFERROR(INDEX('Расчет фасадов MAX'!$O$3:$O$12, A26),0)</f>
        <v>0</v>
      </c>
      <c r="C60" s="174"/>
      <c r="D60" s="174">
        <f>'Фасады EDGE MAX'!G29</f>
        <v>0</v>
      </c>
      <c r="E60" s="174">
        <f>'Фасады EDGE MAX'!I29</f>
        <v>0</v>
      </c>
      <c r="F60" s="175" t="e">
        <f>('Фасады EDGE MAX'!$X$29/G60-F61*$O$1-F62*$O$1)/$O$1</f>
        <v>#DIV/0!</v>
      </c>
      <c r="G60" s="176">
        <f>'Фасады EDGE MAX'!W29</f>
        <v>0</v>
      </c>
      <c r="H60" s="175" t="e">
        <f>F60*G60</f>
        <v>#DIV/0!</v>
      </c>
      <c r="I60" s="177">
        <f>'Фасады EDGE MAX'!$I$40</f>
        <v>0</v>
      </c>
      <c r="J60" s="175" t="e">
        <f t="shared" si="2"/>
        <v>#DIV/0!</v>
      </c>
      <c r="K60" s="174"/>
      <c r="L60" s="174"/>
      <c r="M60" s="178" t="s">
        <v>515</v>
      </c>
      <c r="N60" s="670"/>
      <c r="O60" s="241"/>
    </row>
    <row r="61" spans="1:19" x14ac:dyDescent="0.3">
      <c r="A61" s="664"/>
      <c r="B61" s="149">
        <f>'Расчет фасадов MAX'!B249</f>
        <v>0</v>
      </c>
      <c r="C61" s="45"/>
      <c r="D61" s="45"/>
      <c r="E61" s="45"/>
      <c r="F61" s="130">
        <f>'Расчет фасадов MAX'!$C$249/$O$1</f>
        <v>0</v>
      </c>
      <c r="G61" s="152">
        <f>'Расчет фасадов MAX'!D249</f>
        <v>0</v>
      </c>
      <c r="H61" s="130">
        <f>'Расчет фасадов MAX'!E249/$O$1</f>
        <v>0</v>
      </c>
      <c r="I61" s="304">
        <f>'Фасады EDGE MAX'!$I$40</f>
        <v>0</v>
      </c>
      <c r="J61" s="130">
        <f>H61-H61*I61</f>
        <v>0</v>
      </c>
      <c r="K61" s="45"/>
      <c r="L61" s="45"/>
      <c r="M61" s="184" t="s">
        <v>639</v>
      </c>
      <c r="N61" s="670"/>
      <c r="O61" s="308">
        <f>'Расчет фасадов MAX'!B249</f>
        <v>0</v>
      </c>
    </row>
    <row r="62" spans="1:19" ht="15" thickBot="1" x14ac:dyDescent="0.35">
      <c r="A62" s="665"/>
      <c r="B62" s="456">
        <f>'Расчет фасадов MAX'!B248</f>
        <v>0</v>
      </c>
      <c r="C62" s="169"/>
      <c r="D62" s="169"/>
      <c r="E62" s="169"/>
      <c r="F62" s="170">
        <f>'Расчет фасадов MAX'!$C$248/$O$1</f>
        <v>0</v>
      </c>
      <c r="G62" s="305">
        <f>'Расчет фасадов MAX'!D248</f>
        <v>0</v>
      </c>
      <c r="H62" s="170">
        <f>'Расчет фасадов MAX'!E248/$O$1</f>
        <v>0</v>
      </c>
      <c r="I62" s="306">
        <f>'Фасады EDGE MAX'!$I$40</f>
        <v>0</v>
      </c>
      <c r="J62" s="180">
        <f t="shared" si="2"/>
        <v>0</v>
      </c>
      <c r="K62" s="169"/>
      <c r="L62" s="169"/>
      <c r="M62" s="307" t="s">
        <v>640</v>
      </c>
      <c r="N62" s="670"/>
      <c r="O62" s="241"/>
    </row>
    <row r="63" spans="1:19" x14ac:dyDescent="0.3">
      <c r="A63" s="663">
        <v>9</v>
      </c>
      <c r="B63" s="455">
        <f>IFERROR(INDEX('Расчет фасадов MAX'!$O$3:$O$12, A29),0)</f>
        <v>0</v>
      </c>
      <c r="C63" s="174"/>
      <c r="D63" s="174">
        <f>'Фасады EDGE MAX'!G32</f>
        <v>0</v>
      </c>
      <c r="E63" s="174">
        <f>'Фасады EDGE MAX'!I32</f>
        <v>0</v>
      </c>
      <c r="F63" s="175" t="e">
        <f>('Фасады EDGE MAX'!$X$32/G63-F64*$O$1-F65*$O$1)/$O$1</f>
        <v>#DIV/0!</v>
      </c>
      <c r="G63" s="176">
        <f>'Фасады EDGE MAX'!W32</f>
        <v>0</v>
      </c>
      <c r="H63" s="175" t="e">
        <f>F63*G63</f>
        <v>#DIV/0!</v>
      </c>
      <c r="I63" s="177">
        <f>'Фасады EDGE MAX'!$I$40</f>
        <v>0</v>
      </c>
      <c r="J63" s="175" t="e">
        <f t="shared" si="2"/>
        <v>#DIV/0!</v>
      </c>
      <c r="K63" s="174"/>
      <c r="L63" s="174"/>
      <c r="M63" s="178" t="s">
        <v>516</v>
      </c>
      <c r="N63" s="670"/>
      <c r="O63" s="241"/>
    </row>
    <row r="64" spans="1:19" x14ac:dyDescent="0.3">
      <c r="A64" s="664"/>
      <c r="B64" s="149">
        <f>'Расчет фасадов MAX'!B281</f>
        <v>0</v>
      </c>
      <c r="C64" s="45"/>
      <c r="D64" s="45"/>
      <c r="E64" s="45"/>
      <c r="F64" s="130">
        <f>'Расчет фасадов MAX'!$C$281/$O$1</f>
        <v>0</v>
      </c>
      <c r="G64" s="152">
        <f>'Расчет фасадов MAX'!D281</f>
        <v>0</v>
      </c>
      <c r="H64" s="130">
        <f>'Расчет фасадов MAX'!E281/$O$1</f>
        <v>0</v>
      </c>
      <c r="I64" s="304">
        <f>'Фасады EDGE MAX'!$I$40</f>
        <v>0</v>
      </c>
      <c r="J64" s="130">
        <f>H64-H64*I64</f>
        <v>0</v>
      </c>
      <c r="K64" s="45"/>
      <c r="L64" s="45"/>
      <c r="M64" s="184" t="s">
        <v>641</v>
      </c>
      <c r="N64" s="670"/>
      <c r="O64" s="308">
        <f>'Расчет фасадов MAX'!B281</f>
        <v>0</v>
      </c>
    </row>
    <row r="65" spans="1:16" ht="15" thickBot="1" x14ac:dyDescent="0.35">
      <c r="A65" s="665"/>
      <c r="B65" s="456">
        <f>'Расчет фасадов MAX'!B280</f>
        <v>0</v>
      </c>
      <c r="C65" s="169"/>
      <c r="D65" s="169"/>
      <c r="E65" s="169"/>
      <c r="F65" s="170">
        <f>'Расчет фасадов MAX'!$C$280/$O$1</f>
        <v>0</v>
      </c>
      <c r="G65" s="305">
        <f>'Расчет фасадов MAX'!D280</f>
        <v>0</v>
      </c>
      <c r="H65" s="170">
        <f>'Расчет фасадов MAX'!E280/$O$1</f>
        <v>0</v>
      </c>
      <c r="I65" s="306">
        <f>'Фасады EDGE MAX'!$I$40</f>
        <v>0</v>
      </c>
      <c r="J65" s="180">
        <f t="shared" si="2"/>
        <v>0</v>
      </c>
      <c r="K65" s="169"/>
      <c r="L65" s="169"/>
      <c r="M65" s="307" t="s">
        <v>642</v>
      </c>
      <c r="N65" s="670"/>
      <c r="O65" s="241"/>
    </row>
    <row r="66" spans="1:16" x14ac:dyDescent="0.3">
      <c r="A66" s="663">
        <v>10</v>
      </c>
      <c r="B66" s="455">
        <f>IFERROR(INDEX('Расчет фасадов MAX'!$O$3:$O$12, A32),0)</f>
        <v>0</v>
      </c>
      <c r="C66" s="174"/>
      <c r="D66" s="174">
        <f>'Фасады EDGE MAX'!G35</f>
        <v>0</v>
      </c>
      <c r="E66" s="174">
        <f>'Фасады EDGE MAX'!I35</f>
        <v>0</v>
      </c>
      <c r="F66" s="175" t="e">
        <f>('Фасады EDGE MAX'!$X$35/G66-F67*$O$1-F68*$O$1)/$O$1</f>
        <v>#DIV/0!</v>
      </c>
      <c r="G66" s="176">
        <f>'Фасады EDGE MAX'!W35</f>
        <v>0</v>
      </c>
      <c r="H66" s="175" t="e">
        <f>F66*G66</f>
        <v>#DIV/0!</v>
      </c>
      <c r="I66" s="177">
        <f>'Фасады EDGE MAX'!$I$40</f>
        <v>0</v>
      </c>
      <c r="J66" s="175" t="e">
        <f t="shared" si="2"/>
        <v>#DIV/0!</v>
      </c>
      <c r="K66" s="174"/>
      <c r="L66" s="174"/>
      <c r="M66" s="178" t="s">
        <v>517</v>
      </c>
      <c r="N66" s="670"/>
      <c r="O66" s="241"/>
    </row>
    <row r="67" spans="1:16" x14ac:dyDescent="0.3">
      <c r="A67" s="664"/>
      <c r="B67" s="149">
        <f>'Расчет фасадов MAX'!B313</f>
        <v>0</v>
      </c>
      <c r="C67" s="45"/>
      <c r="D67" s="45"/>
      <c r="E67" s="45"/>
      <c r="F67" s="130">
        <f>'Расчет фасадов MAX'!$C$313/$O$1</f>
        <v>0</v>
      </c>
      <c r="G67" s="152">
        <f>'Расчет фасадов MAX'!D313</f>
        <v>0</v>
      </c>
      <c r="H67" s="130">
        <f>'Расчет фасадов MAX'!E313/$O$1</f>
        <v>0</v>
      </c>
      <c r="I67" s="304">
        <f>'Фасады EDGE MAX'!$I$40</f>
        <v>0</v>
      </c>
      <c r="J67" s="130">
        <f>H67-H67*I67</f>
        <v>0</v>
      </c>
      <c r="K67" s="45"/>
      <c r="L67" s="45"/>
      <c r="M67" s="184" t="s">
        <v>691</v>
      </c>
      <c r="N67" s="670"/>
      <c r="O67" s="308">
        <f>'Расчет фасадов MAX'!B313</f>
        <v>0</v>
      </c>
    </row>
    <row r="68" spans="1:16" ht="15" thickBot="1" x14ac:dyDescent="0.35">
      <c r="A68" s="665"/>
      <c r="B68" s="457">
        <f>'Расчет фасадов MAX'!B312</f>
        <v>0</v>
      </c>
      <c r="C68" s="179"/>
      <c r="D68" s="179"/>
      <c r="E68" s="179"/>
      <c r="F68" s="180">
        <f>'Расчет фасадов MAX'!$C$312/$O$1</f>
        <v>0</v>
      </c>
      <c r="G68" s="452">
        <f>'Расчет фасадов MAX'!D312</f>
        <v>0</v>
      </c>
      <c r="H68" s="180">
        <f>'Расчет фасадов MAX'!E312/$O$1</f>
        <v>0</v>
      </c>
      <c r="I68" s="453">
        <f>'Фасады EDGE MAX'!$I$40</f>
        <v>0</v>
      </c>
      <c r="J68" s="180">
        <f t="shared" si="2"/>
        <v>0</v>
      </c>
      <c r="K68" s="179"/>
      <c r="L68" s="179"/>
      <c r="M68" s="181" t="s">
        <v>692</v>
      </c>
      <c r="N68" s="670"/>
      <c r="O68" s="241"/>
    </row>
    <row r="69" spans="1:16" x14ac:dyDescent="0.3">
      <c r="A69" s="204"/>
      <c r="B69" s="458"/>
      <c r="G69" s="205"/>
      <c r="I69" s="206"/>
      <c r="N69" s="207"/>
      <c r="O69" s="241"/>
    </row>
    <row r="70" spans="1:16" x14ac:dyDescent="0.3">
      <c r="A70" s="204"/>
      <c r="B70" s="458"/>
      <c r="G70" s="205"/>
      <c r="I70" s="206"/>
      <c r="N70" s="207"/>
      <c r="O70" s="241"/>
    </row>
    <row r="71" spans="1:16" ht="15" thickBot="1" x14ac:dyDescent="0.35">
      <c r="A71" s="671" t="s">
        <v>287</v>
      </c>
      <c r="B71" s="671"/>
      <c r="C71" s="671"/>
      <c r="D71" s="671"/>
      <c r="E71" s="671"/>
      <c r="F71" s="671"/>
      <c r="G71" s="671"/>
      <c r="H71" s="671"/>
      <c r="I71" s="671"/>
      <c r="J71" s="671"/>
      <c r="K71" s="671"/>
      <c r="L71" s="671"/>
      <c r="M71" s="671"/>
      <c r="N71" s="672" t="s">
        <v>288</v>
      </c>
    </row>
    <row r="72" spans="1:16" x14ac:dyDescent="0.3">
      <c r="A72" s="675" t="s">
        <v>443</v>
      </c>
      <c r="B72" s="676"/>
      <c r="C72" s="676"/>
      <c r="D72" s="676"/>
      <c r="E72" s="676"/>
      <c r="F72" s="676"/>
      <c r="G72" s="676"/>
      <c r="H72" s="676"/>
      <c r="I72" s="676"/>
      <c r="J72" s="676"/>
      <c r="K72" s="676"/>
      <c r="L72" s="676"/>
      <c r="M72" s="677"/>
      <c r="N72" s="672"/>
    </row>
    <row r="73" spans="1:16" x14ac:dyDescent="0.3">
      <c r="A73" s="149" t="s">
        <v>115</v>
      </c>
      <c r="B73" s="45" t="s">
        <v>5</v>
      </c>
      <c r="C73" s="45" t="s">
        <v>2</v>
      </c>
      <c r="D73" s="45" t="s">
        <v>4</v>
      </c>
      <c r="E73" s="45" t="s">
        <v>1</v>
      </c>
      <c r="F73" s="130" t="s">
        <v>3</v>
      </c>
      <c r="G73" s="45" t="s">
        <v>206</v>
      </c>
      <c r="H73" s="130" t="s">
        <v>270</v>
      </c>
      <c r="I73" s="173" t="s">
        <v>271</v>
      </c>
      <c r="J73" s="130" t="s">
        <v>272</v>
      </c>
      <c r="K73" s="678" t="s">
        <v>273</v>
      </c>
      <c r="L73" s="679"/>
      <c r="M73" s="183" t="s">
        <v>234</v>
      </c>
      <c r="N73" s="672"/>
    </row>
    <row r="74" spans="1:16" x14ac:dyDescent="0.3">
      <c r="A74" s="186">
        <v>1</v>
      </c>
      <c r="B74" s="136">
        <f>IFERROR(CONCATENATE("ST.",AL_полки!AA2,".",AL_полки!W1),0)</f>
        <v>0</v>
      </c>
      <c r="C74" s="45"/>
      <c r="D74" s="45">
        <f>AL_полки!C9</f>
        <v>0</v>
      </c>
      <c r="E74" s="45">
        <f>AL_полки!C11</f>
        <v>0</v>
      </c>
      <c r="F74" s="324" t="e">
        <f>AL_полки!F30/$O$1</f>
        <v>#N/A</v>
      </c>
      <c r="G74" s="45">
        <f>AL_полки!G30</f>
        <v>0</v>
      </c>
      <c r="H74" s="130" t="e">
        <f t="shared" ref="H74:H79" si="3">F74*G74/$O$1</f>
        <v>#N/A</v>
      </c>
      <c r="I74" s="129">
        <f>AL_полки!E40</f>
        <v>0</v>
      </c>
      <c r="J74" s="130" t="e">
        <f>H74-H74*I74</f>
        <v>#N/A</v>
      </c>
      <c r="K74" s="45"/>
      <c r="L74" s="45"/>
      <c r="M74" s="184" t="str">
        <f>IF(AL_полки!$E$14="","Без наполнения",INDEX(ПолкиВставкиИРА[арт],MATCH(AL_полки!$E$14,ПолкиВставкиИРА[ира],0)))</f>
        <v>Без наполнения</v>
      </c>
      <c r="N74" s="672"/>
    </row>
    <row r="75" spans="1:16" x14ac:dyDescent="0.3">
      <c r="A75" s="186">
        <v>2</v>
      </c>
      <c r="B75" s="136">
        <f>IFERROR(AL_полки!$D$32,0)</f>
        <v>0</v>
      </c>
      <c r="C75" s="45"/>
      <c r="D75" s="45"/>
      <c r="E75" s="45"/>
      <c r="F75" s="324">
        <f>AL_полки!F32/$O$1</f>
        <v>0</v>
      </c>
      <c r="G75" s="430">
        <f>AL_полки!G32</f>
        <v>0</v>
      </c>
      <c r="H75" s="130">
        <f t="shared" si="3"/>
        <v>0</v>
      </c>
      <c r="I75" s="129">
        <f>AL_полки!$E$41</f>
        <v>0</v>
      </c>
      <c r="J75" s="130">
        <f t="shared" ref="J75:J79" si="4">H75-H75*I75</f>
        <v>0</v>
      </c>
      <c r="K75" s="45"/>
      <c r="L75" s="45"/>
      <c r="M75" s="184"/>
      <c r="N75" s="672"/>
    </row>
    <row r="76" spans="1:16" x14ac:dyDescent="0.3">
      <c r="A76" s="186">
        <v>3</v>
      </c>
      <c r="B76" s="136" t="str">
        <f>AL_полки!D33</f>
        <v/>
      </c>
      <c r="C76" s="45"/>
      <c r="D76" s="45"/>
      <c r="E76" s="45"/>
      <c r="F76" s="324">
        <f>AL_полки!F33/$O$1</f>
        <v>0</v>
      </c>
      <c r="G76" s="430">
        <f>AL_полки!G33</f>
        <v>0</v>
      </c>
      <c r="H76" s="130">
        <f t="shared" si="3"/>
        <v>0</v>
      </c>
      <c r="I76" s="129">
        <f>AL_полки!$E$41</f>
        <v>0</v>
      </c>
      <c r="J76" s="130">
        <f t="shared" si="4"/>
        <v>0</v>
      </c>
      <c r="K76" s="45"/>
      <c r="L76" s="45"/>
      <c r="M76" s="184"/>
      <c r="N76" s="672"/>
      <c r="P76" s="133"/>
    </row>
    <row r="77" spans="1:16" x14ac:dyDescent="0.3">
      <c r="A77" s="186">
        <v>4</v>
      </c>
      <c r="B77" s="136" t="str">
        <f>AL_полки!D34</f>
        <v>15.009.04.013</v>
      </c>
      <c r="C77" s="45"/>
      <c r="D77" s="45"/>
      <c r="E77" s="45"/>
      <c r="F77" s="324">
        <f>AL_полки!F34/$O$1</f>
        <v>162</v>
      </c>
      <c r="G77" s="430">
        <f>AL_полки!G34</f>
        <v>0</v>
      </c>
      <c r="H77" s="130">
        <f t="shared" si="3"/>
        <v>0</v>
      </c>
      <c r="I77" s="129">
        <f>AL_полки!$E$41</f>
        <v>0</v>
      </c>
      <c r="J77" s="130">
        <f t="shared" si="4"/>
        <v>0</v>
      </c>
      <c r="K77" s="45"/>
      <c r="L77" s="45"/>
      <c r="M77" s="184"/>
      <c r="N77" s="672"/>
    </row>
    <row r="78" spans="1:16" x14ac:dyDescent="0.3">
      <c r="A78" s="186">
        <v>5</v>
      </c>
      <c r="B78" s="136" t="str">
        <f>AL_полки!D35</f>
        <v>19.143.36.410</v>
      </c>
      <c r="C78" s="45"/>
      <c r="D78" s="45"/>
      <c r="E78" s="45"/>
      <c r="F78" s="324">
        <f>AL_полки!F35/$O$1</f>
        <v>248.39999999999998</v>
      </c>
      <c r="G78" s="430">
        <f>AL_полки!G35</f>
        <v>0</v>
      </c>
      <c r="H78" s="130">
        <f t="shared" si="3"/>
        <v>0</v>
      </c>
      <c r="I78" s="129">
        <f>AL_полки!$E$41</f>
        <v>0</v>
      </c>
      <c r="J78" s="130">
        <f t="shared" si="4"/>
        <v>0</v>
      </c>
      <c r="K78" s="45"/>
      <c r="L78" s="45"/>
      <c r="M78" s="184"/>
      <c r="N78" s="672"/>
    </row>
    <row r="79" spans="1:16" ht="15" thickBot="1" x14ac:dyDescent="0.35">
      <c r="A79" s="182">
        <v>6</v>
      </c>
      <c r="B79" s="459" t="str">
        <f>AL_полки!D36</f>
        <v>15.800.00.041</v>
      </c>
      <c r="C79" s="179"/>
      <c r="D79" s="179"/>
      <c r="E79" s="179"/>
      <c r="F79" s="325">
        <f>AL_полки!F36/$O$1</f>
        <v>402.29999999999995</v>
      </c>
      <c r="G79" s="468">
        <f>AL_полки!G36</f>
        <v>0</v>
      </c>
      <c r="H79" s="180">
        <f t="shared" si="3"/>
        <v>0</v>
      </c>
      <c r="I79" s="185">
        <f>AL_полки!$E$41</f>
        <v>0</v>
      </c>
      <c r="J79" s="180">
        <f t="shared" si="4"/>
        <v>0</v>
      </c>
      <c r="K79" s="179"/>
      <c r="L79" s="179"/>
      <c r="M79" s="181"/>
      <c r="N79" s="672"/>
    </row>
    <row r="80" spans="1:16" ht="15" thickBot="1" x14ac:dyDescent="0.35"/>
    <row r="81" spans="1:13" x14ac:dyDescent="0.3">
      <c r="A81" s="667" t="s">
        <v>444</v>
      </c>
      <c r="B81" s="668"/>
      <c r="C81" s="668"/>
      <c r="D81" s="668"/>
      <c r="E81" s="668"/>
      <c r="F81" s="668"/>
      <c r="G81" s="668"/>
      <c r="H81" s="668"/>
      <c r="I81" s="668"/>
      <c r="J81" s="668"/>
      <c r="K81" s="668"/>
      <c r="L81" s="668"/>
      <c r="M81" s="669"/>
    </row>
    <row r="82" spans="1:13" x14ac:dyDescent="0.3">
      <c r="A82" s="45" t="s">
        <v>115</v>
      </c>
      <c r="B82" s="45" t="s">
        <v>5</v>
      </c>
      <c r="C82" s="45" t="s">
        <v>2</v>
      </c>
      <c r="D82" s="45" t="s">
        <v>4</v>
      </c>
      <c r="E82" s="45" t="s">
        <v>1</v>
      </c>
      <c r="F82" s="130" t="s">
        <v>3</v>
      </c>
      <c r="G82" s="45" t="s">
        <v>206</v>
      </c>
      <c r="H82" s="130" t="s">
        <v>270</v>
      </c>
      <c r="I82" s="173" t="s">
        <v>271</v>
      </c>
      <c r="J82" s="130" t="s">
        <v>272</v>
      </c>
      <c r="K82" s="612" t="s">
        <v>273</v>
      </c>
      <c r="L82" s="612"/>
      <c r="M82" s="135" t="s">
        <v>234</v>
      </c>
    </row>
    <row r="83" spans="1:13" x14ac:dyDescent="0.3">
      <c r="A83" s="135">
        <v>1</v>
      </c>
      <c r="B83" s="136">
        <f>IF('Вешало '!H8=0,0,'Вешало '!E8)</f>
        <v>0</v>
      </c>
      <c r="C83" s="45"/>
      <c r="D83" s="45">
        <f>'Вешало '!G8</f>
        <v>0</v>
      </c>
      <c r="E83" s="45"/>
      <c r="F83" s="130">
        <f>'Вешало '!I8</f>
        <v>0</v>
      </c>
      <c r="G83" s="152">
        <f>'Вешало '!L8</f>
        <v>0</v>
      </c>
      <c r="H83" s="130">
        <f>'Вешало '!J8/$O$1</f>
        <v>0</v>
      </c>
      <c r="I83" s="129">
        <f>'Вешало '!$I$34</f>
        <v>0</v>
      </c>
      <c r="J83" s="130">
        <f>H83-H83*I83</f>
        <v>0</v>
      </c>
      <c r="K83" s="45"/>
      <c r="L83" s="45"/>
      <c r="M83" s="45" t="str">
        <f>IF(D83=0,""," -1 шт")</f>
        <v/>
      </c>
    </row>
    <row r="84" spans="1:13" x14ac:dyDescent="0.3">
      <c r="A84" s="135">
        <v>2</v>
      </c>
      <c r="B84" s="136">
        <f>IF('Вешало '!H10=0,0,'Вешало '!E10)</f>
        <v>0</v>
      </c>
      <c r="C84" s="45"/>
      <c r="D84" s="45">
        <f>'Вешало '!G10</f>
        <v>0</v>
      </c>
      <c r="E84" s="45"/>
      <c r="F84" s="130">
        <f>'Вешало '!I10</f>
        <v>0</v>
      </c>
      <c r="G84" s="152">
        <f>'Вешало '!L10</f>
        <v>0</v>
      </c>
      <c r="H84" s="130">
        <f>'Вешало '!J10/$O$1</f>
        <v>0</v>
      </c>
      <c r="I84" s="129">
        <f>'Вешало '!$I$34</f>
        <v>0</v>
      </c>
      <c r="J84" s="130">
        <f t="shared" ref="J84:J96" si="5">H84-H84*I84</f>
        <v>0</v>
      </c>
      <c r="K84" s="45"/>
      <c r="L84" s="45"/>
      <c r="M84" s="45" t="str">
        <f>IF(D84=0,""," -1 шт.")</f>
        <v/>
      </c>
    </row>
    <row r="85" spans="1:13" x14ac:dyDescent="0.3">
      <c r="A85" s="135">
        <v>3</v>
      </c>
      <c r="B85" s="136">
        <f>IF('Вешало '!H12=0,0,'Вешало '!E12)</f>
        <v>0</v>
      </c>
      <c r="C85" s="45"/>
      <c r="D85" s="45">
        <f>'Вешало '!G12</f>
        <v>0</v>
      </c>
      <c r="E85" s="45"/>
      <c r="F85" s="130">
        <f>'Вешало '!I12</f>
        <v>0</v>
      </c>
      <c r="G85" s="152">
        <f>'Вешало '!L12</f>
        <v>0</v>
      </c>
      <c r="H85" s="130">
        <f>'Вешало '!J12/$O$1</f>
        <v>0</v>
      </c>
      <c r="I85" s="129">
        <f>'Вешало '!$I$34</f>
        <v>0</v>
      </c>
      <c r="J85" s="130">
        <f t="shared" si="5"/>
        <v>0</v>
      </c>
      <c r="K85" s="45"/>
      <c r="L85" s="45"/>
      <c r="M85" s="45" t="str">
        <f>IF(D85=0,""," -1 шт..")</f>
        <v/>
      </c>
    </row>
    <row r="86" spans="1:13" x14ac:dyDescent="0.3">
      <c r="A86" s="135">
        <v>4</v>
      </c>
      <c r="B86" s="136">
        <f>IF('Вешало '!H14=0,0,'Вешало '!E14)</f>
        <v>0</v>
      </c>
      <c r="C86" s="45"/>
      <c r="D86" s="45">
        <f>'Вешало '!G14</f>
        <v>0</v>
      </c>
      <c r="E86" s="45"/>
      <c r="F86" s="130">
        <f>'Вешало '!I14</f>
        <v>0</v>
      </c>
      <c r="G86" s="152">
        <f>'Вешало '!L14</f>
        <v>0</v>
      </c>
      <c r="H86" s="130">
        <f>'Вешало '!J14/$O$1</f>
        <v>0</v>
      </c>
      <c r="I86" s="129">
        <f>'Вешало '!$I$34</f>
        <v>0</v>
      </c>
      <c r="J86" s="130">
        <f t="shared" si="5"/>
        <v>0</v>
      </c>
      <c r="K86" s="45"/>
      <c r="L86" s="45"/>
      <c r="M86" s="45" t="str">
        <f>IF(D86=0,""," -1 шт...")</f>
        <v/>
      </c>
    </row>
    <row r="87" spans="1:13" x14ac:dyDescent="0.3">
      <c r="A87" s="135">
        <v>5</v>
      </c>
      <c r="B87" s="136">
        <f>IF('Вешало '!H16=0,0,'Вешало '!E16)</f>
        <v>0</v>
      </c>
      <c r="C87" s="45"/>
      <c r="D87" s="45">
        <f>'Вешало '!G16</f>
        <v>0</v>
      </c>
      <c r="E87" s="45"/>
      <c r="F87" s="130">
        <f>'Вешало '!I16</f>
        <v>0</v>
      </c>
      <c r="G87" s="152">
        <f>'Вешало '!L16</f>
        <v>0</v>
      </c>
      <c r="H87" s="130">
        <f>'Вешало '!J16/$O$1</f>
        <v>0</v>
      </c>
      <c r="I87" s="129">
        <f>'Вешало '!$I$34</f>
        <v>0</v>
      </c>
      <c r="J87" s="130">
        <f t="shared" si="5"/>
        <v>0</v>
      </c>
      <c r="K87" s="45"/>
      <c r="L87" s="45"/>
      <c r="M87" s="45" t="str">
        <f>IF(D87=0,""," -1 шт….")</f>
        <v/>
      </c>
    </row>
    <row r="88" spans="1:13" x14ac:dyDescent="0.3">
      <c r="A88" s="135">
        <v>6</v>
      </c>
      <c r="B88" s="136">
        <f>IF('Вешало '!H18=0,0,'Вешало '!E18)</f>
        <v>0</v>
      </c>
      <c r="C88" s="45"/>
      <c r="D88" s="45">
        <f>'Вешало '!G18</f>
        <v>0</v>
      </c>
      <c r="E88" s="45"/>
      <c r="F88" s="130">
        <f>'Вешало '!I18</f>
        <v>0</v>
      </c>
      <c r="G88" s="152">
        <f>'Вешало '!L18</f>
        <v>0</v>
      </c>
      <c r="H88" s="130">
        <f>'Вешало '!J18/$O$1</f>
        <v>0</v>
      </c>
      <c r="I88" s="129">
        <f>'Вешало '!$I$34</f>
        <v>0</v>
      </c>
      <c r="J88" s="130">
        <f t="shared" si="5"/>
        <v>0</v>
      </c>
      <c r="K88" s="45"/>
      <c r="L88" s="45"/>
      <c r="M88" s="45" t="str">
        <f>IF(D88=0,""," -1 шт…..")</f>
        <v/>
      </c>
    </row>
    <row r="89" spans="1:13" x14ac:dyDescent="0.3">
      <c r="A89" s="135">
        <v>7</v>
      </c>
      <c r="B89" s="136">
        <f>IF('Вешало '!H20=0,0,'Вешало '!E20)</f>
        <v>0</v>
      </c>
      <c r="C89" s="45"/>
      <c r="D89" s="45">
        <f>'Вешало '!G20</f>
        <v>0</v>
      </c>
      <c r="E89" s="45"/>
      <c r="F89" s="130">
        <f>'Вешало '!I20</f>
        <v>0</v>
      </c>
      <c r="G89" s="152">
        <f>'Вешало '!L20</f>
        <v>0</v>
      </c>
      <c r="H89" s="130">
        <f>'Вешало '!J20/$O$1</f>
        <v>0</v>
      </c>
      <c r="I89" s="129">
        <f>'Вешало '!$I$34</f>
        <v>0</v>
      </c>
      <c r="J89" s="130">
        <f t="shared" si="5"/>
        <v>0</v>
      </c>
      <c r="K89" s="45"/>
      <c r="L89" s="45"/>
      <c r="M89" s="45" t="str">
        <f>IF(D89=0,""," -1 шт…...")</f>
        <v/>
      </c>
    </row>
    <row r="90" spans="1:13" x14ac:dyDescent="0.3">
      <c r="A90" s="135">
        <v>8</v>
      </c>
      <c r="B90" s="136">
        <f>IF('Вешало '!H22=0,0,'Вешало '!E22)</f>
        <v>0</v>
      </c>
      <c r="C90" s="45"/>
      <c r="D90" s="45">
        <f>'Вешало '!G22</f>
        <v>0</v>
      </c>
      <c r="E90" s="45"/>
      <c r="F90" s="130">
        <f>'Вешало '!I22</f>
        <v>0</v>
      </c>
      <c r="G90" s="152">
        <f>'Вешало '!L22</f>
        <v>0</v>
      </c>
      <c r="H90" s="130">
        <f>'Вешало '!J22/$O$1</f>
        <v>0</v>
      </c>
      <c r="I90" s="129">
        <f>'Вешало '!$I$34</f>
        <v>0</v>
      </c>
      <c r="J90" s="130">
        <f t="shared" si="5"/>
        <v>0</v>
      </c>
      <c r="K90" s="45"/>
      <c r="L90" s="45"/>
      <c r="M90" s="45" t="str">
        <f>IF(D90=0,""," -1 шт…….")</f>
        <v/>
      </c>
    </row>
    <row r="91" spans="1:13" x14ac:dyDescent="0.3">
      <c r="A91" s="135">
        <v>9</v>
      </c>
      <c r="B91" s="136">
        <f>IF('Вешало '!H24=0,0,'Вешало '!E24)</f>
        <v>0</v>
      </c>
      <c r="C91" s="45"/>
      <c r="D91" s="45">
        <f>'Вешало '!G24</f>
        <v>0</v>
      </c>
      <c r="E91" s="45"/>
      <c r="F91" s="130">
        <f>'Вешало '!I24</f>
        <v>0</v>
      </c>
      <c r="G91" s="152">
        <f>'Вешало '!L24</f>
        <v>0</v>
      </c>
      <c r="H91" s="130">
        <f>'Вешало '!J24/$O$1</f>
        <v>0</v>
      </c>
      <c r="I91" s="129">
        <f>'Вешало '!$I$34</f>
        <v>0</v>
      </c>
      <c r="J91" s="130">
        <f t="shared" si="5"/>
        <v>0</v>
      </c>
      <c r="K91" s="45"/>
      <c r="L91" s="45"/>
      <c r="M91" s="45" t="str">
        <f>IF(D91=0,""," -1 шт……..")</f>
        <v/>
      </c>
    </row>
    <row r="92" spans="1:13" x14ac:dyDescent="0.3">
      <c r="A92" s="135">
        <v>10</v>
      </c>
      <c r="B92" s="136">
        <f>IF('Вешало '!H26=0,0,'Вешало '!E26)</f>
        <v>0</v>
      </c>
      <c r="C92" s="45"/>
      <c r="D92" s="45">
        <f>'Вешало '!G26</f>
        <v>0</v>
      </c>
      <c r="E92" s="45"/>
      <c r="F92" s="130">
        <f>'Вешало '!I26</f>
        <v>0</v>
      </c>
      <c r="G92" s="152">
        <f>'Вешало '!L26</f>
        <v>0</v>
      </c>
      <c r="H92" s="130">
        <f>'Вешало '!J26/$O$1</f>
        <v>0</v>
      </c>
      <c r="I92" s="129">
        <f>'Вешало '!$I$34</f>
        <v>0</v>
      </c>
      <c r="J92" s="130">
        <f t="shared" si="5"/>
        <v>0</v>
      </c>
      <c r="K92" s="45"/>
      <c r="L92" s="45"/>
      <c r="M92" s="45" t="str">
        <f>IF(D92=0,""," -1 шт……...")</f>
        <v/>
      </c>
    </row>
    <row r="93" spans="1:13" x14ac:dyDescent="0.3">
      <c r="A93" s="135">
        <v>11</v>
      </c>
      <c r="B93" s="45" t="s">
        <v>352</v>
      </c>
      <c r="C93" s="45"/>
      <c r="D93" s="45"/>
      <c r="E93" s="45"/>
      <c r="F93" s="130">
        <f>Ред!E89/$O$1</f>
        <v>91.727999999999994</v>
      </c>
      <c r="G93" s="45">
        <f>'Вешало '!M6</f>
        <v>0</v>
      </c>
      <c r="H93" s="130">
        <f>F93*G93</f>
        <v>0</v>
      </c>
      <c r="I93" s="129">
        <f>I92</f>
        <v>0</v>
      </c>
      <c r="J93" s="130">
        <f t="shared" si="5"/>
        <v>0</v>
      </c>
      <c r="K93" s="45"/>
      <c r="L93" s="45"/>
      <c r="M93" s="45"/>
    </row>
    <row r="94" spans="1:13" x14ac:dyDescent="0.3">
      <c r="A94" s="135">
        <v>12</v>
      </c>
      <c r="B94" s="136" t="str">
        <f>IF('Вешало '!H29="",0,'Вешало '!E29)</f>
        <v>AA0956.VR000.BKM00.CN</v>
      </c>
      <c r="C94" s="45"/>
      <c r="D94" s="45"/>
      <c r="E94" s="45"/>
      <c r="F94" s="130">
        <f>'Вешало '!I29/$O$1</f>
        <v>420.25830000000002</v>
      </c>
      <c r="G94" s="130">
        <f>'Вешало '!H29</f>
        <v>0</v>
      </c>
      <c r="H94" s="130">
        <f>'Вешало '!J29/$O$1</f>
        <v>0</v>
      </c>
      <c r="I94" s="129">
        <f>'Вешало '!$I$34</f>
        <v>0</v>
      </c>
      <c r="J94" s="130">
        <f t="shared" si="5"/>
        <v>0</v>
      </c>
      <c r="K94" s="45"/>
      <c r="L94" s="45"/>
      <c r="M94" s="45"/>
    </row>
    <row r="95" spans="1:13" x14ac:dyDescent="0.3">
      <c r="A95" s="135">
        <v>13</v>
      </c>
      <c r="B95" s="136" t="str">
        <f>IF('Вешало '!H30="",0,'Вешало '!E30)</f>
        <v>AA1019.VP000.BKM00.CN</v>
      </c>
      <c r="C95" s="45"/>
      <c r="D95" s="45"/>
      <c r="E95" s="45"/>
      <c r="F95" s="130">
        <f>'Вешало '!I30/$O$1</f>
        <v>932.90610000000015</v>
      </c>
      <c r="G95" s="130">
        <f>'Вешало '!H30</f>
        <v>0</v>
      </c>
      <c r="H95" s="130">
        <f>'Вешало '!J30/$O$1</f>
        <v>0</v>
      </c>
      <c r="I95" s="129">
        <f>'Вешало '!$I$34</f>
        <v>0</v>
      </c>
      <c r="J95" s="130">
        <f t="shared" si="5"/>
        <v>0</v>
      </c>
      <c r="K95" s="45"/>
      <c r="L95" s="45"/>
      <c r="M95" s="45"/>
    </row>
    <row r="96" spans="1:13" x14ac:dyDescent="0.3">
      <c r="A96" s="135">
        <v>14</v>
      </c>
      <c r="B96" s="136" t="str">
        <f>IF('Вешало '!H31="",0,'Вешало '!E31)</f>
        <v>AA1020.VP000.BKM00.CN</v>
      </c>
      <c r="C96" s="45"/>
      <c r="D96" s="45"/>
      <c r="E96" s="45"/>
      <c r="F96" s="130">
        <f>'Вешало '!I31/$O$1</f>
        <v>1090.7253000000001</v>
      </c>
      <c r="G96" s="130">
        <f>'Вешало '!H31</f>
        <v>0</v>
      </c>
      <c r="H96" s="130">
        <f>'Вешало '!J31/$O$1</f>
        <v>0</v>
      </c>
      <c r="I96" s="129">
        <f>'Вешало '!$I$34</f>
        <v>0</v>
      </c>
      <c r="J96" s="130">
        <f t="shared" si="5"/>
        <v>0</v>
      </c>
      <c r="K96" s="45"/>
      <c r="L96" s="45"/>
      <c r="M96" s="45"/>
    </row>
    <row r="97" spans="1:1" x14ac:dyDescent="0.3">
      <c r="A97" s="265"/>
    </row>
  </sheetData>
  <mergeCells count="33">
    <mergeCell ref="A66:A68"/>
    <mergeCell ref="N37:N68"/>
    <mergeCell ref="A51:A53"/>
    <mergeCell ref="A54:A56"/>
    <mergeCell ref="A57:A59"/>
    <mergeCell ref="A60:A62"/>
    <mergeCell ref="A63:A65"/>
    <mergeCell ref="K38:L38"/>
    <mergeCell ref="A39:A41"/>
    <mergeCell ref="A42:A44"/>
    <mergeCell ref="A45:A47"/>
    <mergeCell ref="A48:A50"/>
    <mergeCell ref="A81:M81"/>
    <mergeCell ref="K82:L82"/>
    <mergeCell ref="N3:N34"/>
    <mergeCell ref="A71:M71"/>
    <mergeCell ref="N71:N79"/>
    <mergeCell ref="A14:A16"/>
    <mergeCell ref="K4:L4"/>
    <mergeCell ref="A3:M3"/>
    <mergeCell ref="A5:A7"/>
    <mergeCell ref="A8:A10"/>
    <mergeCell ref="A11:A13"/>
    <mergeCell ref="A72:M72"/>
    <mergeCell ref="K73:L73"/>
    <mergeCell ref="A17:A19"/>
    <mergeCell ref="A20:A22"/>
    <mergeCell ref="A37:M37"/>
    <mergeCell ref="A23:A25"/>
    <mergeCell ref="A26:A28"/>
    <mergeCell ref="A29:A31"/>
    <mergeCell ref="A32:A34"/>
    <mergeCell ref="A2:M2"/>
  </mergeCells>
  <conditionalFormatting sqref="B1">
    <cfRule type="containsText" dxfId="8" priority="2" operator="containsText" text="Клиент С НДС">
      <formula>NOT(ISERROR(SEARCH("Клиент С НДС",B1)))</formula>
    </cfRule>
  </conditionalFormatting>
  <dataValidations count="1">
    <dataValidation type="list" allowBlank="1" showInputMessage="1" showErrorMessage="1" sqref="B1" xr:uid="{00000000-0002-0000-0800-000000000000}">
      <formula1>"Клиент С НДС,Клиент БЕЗ НДС"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8F6C04F9-9608-44EC-9905-09A392A72AC8}">
            <xm:f>ISTEXT('Фасады EDGE'!$I$47)</xm:f>
            <x14:dxf>
              <font>
                <b/>
                <i val="0"/>
                <color rgb="FFFF0000"/>
              </font>
            </x14:dxf>
          </x14:cfRule>
          <x14:cfRule type="expression" priority="8" id="{522A5FA2-238A-4D99-9D1B-6973881059E4}">
            <xm:f>ISTEXT('Фасады EDGE'!$I$46)</xm:f>
            <x14:dxf>
              <font>
                <b/>
                <i val="0"/>
                <color rgb="FFFF0000"/>
              </font>
            </x14:dxf>
          </x14:cfRule>
          <xm:sqref>A2:M2</xm:sqref>
        </x14:conditionalFormatting>
        <x14:conditionalFormatting xmlns:xm="http://schemas.microsoft.com/office/excel/2006/main">
          <x14:cfRule type="expression" priority="4" id="{84508A16-2008-40B1-B72E-6952AC8278BF}">
            <xm:f>ISTEXT(AL_полки!$C$45)</xm:f>
            <x14:dxf>
              <font>
                <b/>
                <i val="0"/>
                <color rgb="FFFF0000"/>
              </font>
            </x14:dxf>
          </x14:cfRule>
          <x14:cfRule type="expression" priority="5" id="{248228EA-18EC-4ED4-A846-28CA1E3B5BE6}">
            <xm:f>ISTEXT(AL_полки!$C$46)</xm:f>
            <x14:dxf>
              <font>
                <b/>
                <i val="0"/>
                <color rgb="FFFF0000"/>
              </font>
            </x14:dxf>
          </x14:cfRule>
          <xm:sqref>A71:M71</xm:sqref>
        </x14:conditionalFormatting>
        <x14:conditionalFormatting xmlns:xm="http://schemas.microsoft.com/office/excel/2006/main">
          <x14:cfRule type="expression" priority="6" id="{C32FE9C9-D14E-47AC-A025-458B4B93548D}">
            <xm:f>'Фасады EDGE'!$X$1&gt;1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N3:N36 N69:N70</xm:sqref>
        </x14:conditionalFormatting>
        <x14:conditionalFormatting xmlns:xm="http://schemas.microsoft.com/office/excel/2006/main">
          <x14:cfRule type="expression" priority="1" id="{E8EBB7F1-E48E-4957-8007-3B6C7D4BB3E1}">
            <xm:f>'Фасады EDGE MAX'!$X$1&gt;1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N37:N68</xm:sqref>
        </x14:conditionalFormatting>
        <x14:conditionalFormatting xmlns:xm="http://schemas.microsoft.com/office/excel/2006/main">
          <x14:cfRule type="expression" priority="3" id="{56D54B54-81DC-4331-B7E7-E28DF9ADFF9C}">
            <xm:f>AL_полки!$N$1&gt;1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N71:N79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P91"/>
  <sheetViews>
    <sheetView workbookViewId="0">
      <selection activeCell="K11" sqref="K11"/>
    </sheetView>
  </sheetViews>
  <sheetFormatPr defaultRowHeight="14.4" x14ac:dyDescent="0.3"/>
  <cols>
    <col min="1" max="1" width="63.6640625" customWidth="1"/>
    <col min="2" max="2" width="29.109375" customWidth="1"/>
    <col min="3" max="4" width="20.5546875" customWidth="1"/>
    <col min="5" max="5" width="16.6640625" customWidth="1"/>
    <col min="6" max="6" width="11.44140625" style="327" customWidth="1"/>
    <col min="7" max="7" width="8.88671875" style="267" customWidth="1"/>
    <col min="8" max="10" width="8.88671875" style="327" customWidth="1"/>
    <col min="11" max="11" width="8.88671875" style="267" customWidth="1"/>
    <col min="12" max="16" width="8.88671875" style="226"/>
  </cols>
  <sheetData>
    <row r="1" spans="1:12" x14ac:dyDescent="0.3">
      <c r="A1" s="45" t="s">
        <v>2</v>
      </c>
      <c r="B1" s="45" t="s">
        <v>5</v>
      </c>
      <c r="C1" s="45"/>
      <c r="D1" s="135" t="s">
        <v>204</v>
      </c>
      <c r="E1" s="135" t="s">
        <v>730</v>
      </c>
      <c r="F1" s="326" t="s">
        <v>451</v>
      </c>
      <c r="G1" s="267">
        <v>90</v>
      </c>
      <c r="L1" s="226" t="s">
        <v>519</v>
      </c>
    </row>
    <row r="2" spans="1:12" x14ac:dyDescent="0.3">
      <c r="A2" s="272" t="s">
        <v>413</v>
      </c>
      <c r="B2" s="272"/>
      <c r="C2" s="272"/>
      <c r="D2" s="272"/>
      <c r="E2" s="272"/>
      <c r="F2" s="328"/>
      <c r="L2" s="226">
        <v>2.84</v>
      </c>
    </row>
    <row r="3" spans="1:12" x14ac:dyDescent="0.3">
      <c r="A3" s="45" t="s">
        <v>186</v>
      </c>
      <c r="B3" s="136">
        <v>13320001</v>
      </c>
      <c r="C3" s="45" t="s">
        <v>199</v>
      </c>
      <c r="D3" s="135" t="s">
        <v>193</v>
      </c>
      <c r="E3" s="130">
        <f>I3</f>
        <v>949.41000000000008</v>
      </c>
      <c r="F3" s="335">
        <v>19.18</v>
      </c>
      <c r="H3" s="327">
        <f>F3*$G$1</f>
        <v>1726.2</v>
      </c>
      <c r="I3" s="327">
        <f>H3*2.75/5</f>
        <v>949.41000000000008</v>
      </c>
      <c r="J3" s="330"/>
    </row>
    <row r="4" spans="1:12" x14ac:dyDescent="0.3">
      <c r="A4" s="45" t="s">
        <v>415</v>
      </c>
      <c r="B4" s="136">
        <v>13320002</v>
      </c>
      <c r="C4" s="45" t="s">
        <v>200</v>
      </c>
      <c r="D4" s="135" t="s">
        <v>193</v>
      </c>
      <c r="E4" s="130">
        <f t="shared" ref="E4:E25" si="0">I4</f>
        <v>949.41000000000008</v>
      </c>
      <c r="F4" s="335">
        <v>19.18</v>
      </c>
      <c r="H4" s="327">
        <f t="shared" ref="H4:H12" si="1">F4*$G$1</f>
        <v>1726.2</v>
      </c>
      <c r="I4" s="327">
        <f>H4*2.75/5</f>
        <v>949.41000000000008</v>
      </c>
      <c r="J4" s="330"/>
    </row>
    <row r="5" spans="1:12" x14ac:dyDescent="0.3">
      <c r="A5" s="45" t="s">
        <v>187</v>
      </c>
      <c r="B5" s="136">
        <v>13070012</v>
      </c>
      <c r="C5" s="45"/>
      <c r="D5" s="135" t="s">
        <v>194</v>
      </c>
      <c r="E5" s="130">
        <f t="shared" si="0"/>
        <v>2189.7199999999998</v>
      </c>
      <c r="F5" s="335">
        <v>9.26</v>
      </c>
      <c r="H5" s="327">
        <f t="shared" si="1"/>
        <v>833.4</v>
      </c>
      <c r="I5" s="327">
        <v>2189.7199999999998</v>
      </c>
      <c r="J5" s="330"/>
    </row>
    <row r="6" spans="1:12" x14ac:dyDescent="0.3">
      <c r="A6" s="45" t="s">
        <v>188</v>
      </c>
      <c r="B6" s="136" t="s">
        <v>192</v>
      </c>
      <c r="C6" s="45"/>
      <c r="D6" s="135" t="s">
        <v>194</v>
      </c>
      <c r="E6" s="130">
        <f t="shared" si="0"/>
        <v>2477.4749999999999</v>
      </c>
      <c r="F6" s="335">
        <v>10.01</v>
      </c>
      <c r="H6" s="327">
        <f t="shared" si="1"/>
        <v>900.9</v>
      </c>
      <c r="I6" s="327">
        <f t="shared" ref="I6:I12" si="2">H6*2.75</f>
        <v>2477.4749999999999</v>
      </c>
      <c r="J6" s="330"/>
    </row>
    <row r="7" spans="1:12" x14ac:dyDescent="0.3">
      <c r="A7" s="45" t="s">
        <v>189</v>
      </c>
      <c r="B7" s="136">
        <v>13070039</v>
      </c>
      <c r="C7" s="45"/>
      <c r="D7" s="135" t="s">
        <v>194</v>
      </c>
      <c r="E7" s="130">
        <f t="shared" si="0"/>
        <v>3752.1000000000004</v>
      </c>
      <c r="F7" s="335">
        <v>15.16</v>
      </c>
      <c r="H7" s="327">
        <f t="shared" si="1"/>
        <v>1364.4</v>
      </c>
      <c r="I7" s="327">
        <f t="shared" si="2"/>
        <v>3752.1000000000004</v>
      </c>
      <c r="J7" s="330"/>
    </row>
    <row r="8" spans="1:12" x14ac:dyDescent="0.3">
      <c r="A8" s="45" t="s">
        <v>190</v>
      </c>
      <c r="B8" s="136">
        <v>13070060</v>
      </c>
      <c r="C8" s="45"/>
      <c r="D8" s="135" t="s">
        <v>194</v>
      </c>
      <c r="E8" s="130">
        <f t="shared" si="0"/>
        <v>5754.375</v>
      </c>
      <c r="F8" s="335">
        <v>23.25</v>
      </c>
      <c r="H8" s="327">
        <f t="shared" si="1"/>
        <v>2092.5</v>
      </c>
      <c r="I8" s="327">
        <f t="shared" si="2"/>
        <v>5754.375</v>
      </c>
      <c r="J8" s="330"/>
    </row>
    <row r="9" spans="1:12" x14ac:dyDescent="0.3">
      <c r="A9" s="45" t="s">
        <v>207</v>
      </c>
      <c r="B9" s="136" t="s">
        <v>185</v>
      </c>
      <c r="C9" s="45"/>
      <c r="D9" s="135" t="s">
        <v>194</v>
      </c>
      <c r="E9" s="130">
        <f t="shared" si="0"/>
        <v>9325.7999999999993</v>
      </c>
      <c r="F9" s="335">
        <v>37.68</v>
      </c>
      <c r="H9" s="327">
        <f t="shared" si="1"/>
        <v>3391.2</v>
      </c>
      <c r="I9" s="327">
        <f t="shared" si="2"/>
        <v>9325.7999999999993</v>
      </c>
      <c r="J9" s="330"/>
    </row>
    <row r="10" spans="1:12" x14ac:dyDescent="0.3">
      <c r="A10" s="45" t="s">
        <v>191</v>
      </c>
      <c r="B10" s="136">
        <v>13340001</v>
      </c>
      <c r="C10" s="45"/>
      <c r="D10" s="135" t="s">
        <v>194</v>
      </c>
      <c r="E10" s="130">
        <f t="shared" si="0"/>
        <v>386.1</v>
      </c>
      <c r="F10" s="335">
        <v>1.56</v>
      </c>
      <c r="H10" s="327">
        <f t="shared" si="1"/>
        <v>140.4</v>
      </c>
      <c r="I10" s="327">
        <f t="shared" si="2"/>
        <v>386.1</v>
      </c>
      <c r="J10" s="330"/>
    </row>
    <row r="11" spans="1:12" x14ac:dyDescent="0.3">
      <c r="A11" s="45" t="s">
        <v>182</v>
      </c>
      <c r="B11" s="136">
        <v>13340002</v>
      </c>
      <c r="C11" s="45"/>
      <c r="D11" s="135" t="s">
        <v>194</v>
      </c>
      <c r="E11" s="130">
        <f t="shared" si="0"/>
        <v>457.875</v>
      </c>
      <c r="F11" s="335">
        <v>1.85</v>
      </c>
      <c r="H11" s="327">
        <f t="shared" si="1"/>
        <v>166.5</v>
      </c>
      <c r="I11" s="327">
        <f t="shared" si="2"/>
        <v>457.875</v>
      </c>
      <c r="J11" s="330"/>
    </row>
    <row r="12" spans="1:12" x14ac:dyDescent="0.3">
      <c r="A12" s="45" t="s">
        <v>183</v>
      </c>
      <c r="B12" s="136">
        <v>13340003</v>
      </c>
      <c r="C12" s="45"/>
      <c r="D12" s="135" t="s">
        <v>194</v>
      </c>
      <c r="E12" s="130">
        <f t="shared" si="0"/>
        <v>507.37499999999994</v>
      </c>
      <c r="F12" s="335">
        <v>2.0499999999999998</v>
      </c>
      <c r="H12" s="327">
        <f t="shared" si="1"/>
        <v>184.49999999999997</v>
      </c>
      <c r="I12" s="327">
        <f t="shared" si="2"/>
        <v>507.37499999999994</v>
      </c>
      <c r="J12" s="330"/>
    </row>
    <row r="13" spans="1:12" x14ac:dyDescent="0.3">
      <c r="A13" s="272" t="s">
        <v>414</v>
      </c>
      <c r="B13" s="272"/>
      <c r="C13" s="272"/>
      <c r="D13" s="272"/>
      <c r="E13" s="272"/>
      <c r="F13" s="328" t="s">
        <v>451</v>
      </c>
      <c r="H13" s="327">
        <v>0</v>
      </c>
      <c r="J13" s="330"/>
    </row>
    <row r="14" spans="1:12" x14ac:dyDescent="0.3">
      <c r="A14" s="45" t="s">
        <v>416</v>
      </c>
      <c r="B14" s="136" t="s">
        <v>648</v>
      </c>
      <c r="C14" s="45"/>
      <c r="D14" s="135" t="s">
        <v>193</v>
      </c>
      <c r="E14" s="130">
        <f t="shared" si="0"/>
        <v>233.28000000000003</v>
      </c>
      <c r="F14" s="334">
        <v>4.32</v>
      </c>
      <c r="H14" s="327">
        <f>F14*$G$1</f>
        <v>388.8</v>
      </c>
      <c r="I14" s="327">
        <f>H14/5*3</f>
        <v>233.28000000000003</v>
      </c>
      <c r="J14" s="330"/>
    </row>
    <row r="15" spans="1:12" x14ac:dyDescent="0.3">
      <c r="A15" s="45" t="s">
        <v>417</v>
      </c>
      <c r="B15" s="136" t="s">
        <v>418</v>
      </c>
      <c r="C15" s="45"/>
      <c r="D15" s="135" t="s">
        <v>193</v>
      </c>
      <c r="E15" s="130">
        <f t="shared" si="0"/>
        <v>233.28000000000003</v>
      </c>
      <c r="F15" s="334">
        <v>4.32</v>
      </c>
      <c r="H15" s="327">
        <f t="shared" ref="H15:H23" si="3">F15*$G$1</f>
        <v>388.8</v>
      </c>
      <c r="I15" s="327">
        <f>H15/5*3</f>
        <v>233.28000000000003</v>
      </c>
      <c r="J15" s="330"/>
    </row>
    <row r="16" spans="1:12" ht="28.8" x14ac:dyDescent="0.3">
      <c r="A16" s="132" t="s">
        <v>424</v>
      </c>
      <c r="B16" s="136" t="s">
        <v>419</v>
      </c>
      <c r="C16" s="45" t="s">
        <v>434</v>
      </c>
      <c r="D16" s="135" t="s">
        <v>194</v>
      </c>
      <c r="E16" s="130">
        <f t="shared" si="0"/>
        <v>1206.8999999999999</v>
      </c>
      <c r="F16" s="334">
        <v>4.47</v>
      </c>
      <c r="H16" s="327">
        <f t="shared" si="3"/>
        <v>402.29999999999995</v>
      </c>
      <c r="I16" s="327">
        <f t="shared" ref="I16:I23" si="4">H16*3</f>
        <v>1206.8999999999999</v>
      </c>
      <c r="J16" s="330"/>
    </row>
    <row r="17" spans="1:10" ht="28.8" x14ac:dyDescent="0.3">
      <c r="A17" s="132" t="s">
        <v>425</v>
      </c>
      <c r="B17" s="136" t="s">
        <v>420</v>
      </c>
      <c r="C17" s="45" t="s">
        <v>435</v>
      </c>
      <c r="D17" s="135" t="s">
        <v>194</v>
      </c>
      <c r="E17" s="130">
        <f t="shared" si="0"/>
        <v>1466.1</v>
      </c>
      <c r="F17" s="334">
        <v>5.43</v>
      </c>
      <c r="H17" s="327">
        <f t="shared" si="3"/>
        <v>488.7</v>
      </c>
      <c r="I17" s="327">
        <f t="shared" si="4"/>
        <v>1466.1</v>
      </c>
      <c r="J17" s="330"/>
    </row>
    <row r="18" spans="1:10" ht="28.8" x14ac:dyDescent="0.3">
      <c r="A18" s="132" t="s">
        <v>426</v>
      </c>
      <c r="B18" s="136" t="s">
        <v>421</v>
      </c>
      <c r="C18" s="45" t="s">
        <v>436</v>
      </c>
      <c r="D18" s="135" t="s">
        <v>194</v>
      </c>
      <c r="E18" s="130">
        <f t="shared" si="0"/>
        <v>1379.7</v>
      </c>
      <c r="F18" s="334">
        <v>5.1100000000000003</v>
      </c>
      <c r="H18" s="327">
        <f t="shared" si="3"/>
        <v>459.90000000000003</v>
      </c>
      <c r="I18" s="327">
        <f t="shared" si="4"/>
        <v>1379.7</v>
      </c>
      <c r="J18" s="330"/>
    </row>
    <row r="19" spans="1:10" ht="28.8" x14ac:dyDescent="0.3">
      <c r="A19" s="132" t="s">
        <v>427</v>
      </c>
      <c r="B19" s="136" t="s">
        <v>422</v>
      </c>
      <c r="C19" s="45" t="s">
        <v>437</v>
      </c>
      <c r="D19" s="135" t="s">
        <v>194</v>
      </c>
      <c r="E19" s="130">
        <f t="shared" si="0"/>
        <v>3526.2000000000003</v>
      </c>
      <c r="F19" s="334">
        <v>13.06</v>
      </c>
      <c r="H19" s="327">
        <f t="shared" si="3"/>
        <v>1175.4000000000001</v>
      </c>
      <c r="I19" s="327">
        <f t="shared" si="4"/>
        <v>3526.2000000000003</v>
      </c>
      <c r="J19" s="330"/>
    </row>
    <row r="20" spans="1:10" ht="28.95" customHeight="1" x14ac:dyDescent="0.3">
      <c r="A20" s="132" t="s">
        <v>431</v>
      </c>
      <c r="B20" s="136" t="s">
        <v>423</v>
      </c>
      <c r="C20" s="45"/>
      <c r="D20" s="135" t="s">
        <v>194</v>
      </c>
      <c r="E20" s="130">
        <f t="shared" si="0"/>
        <v>218.70000000000002</v>
      </c>
      <c r="F20" s="334">
        <v>0.81</v>
      </c>
      <c r="H20" s="327">
        <f t="shared" si="3"/>
        <v>72.900000000000006</v>
      </c>
      <c r="I20" s="327">
        <f t="shared" si="4"/>
        <v>218.70000000000002</v>
      </c>
      <c r="J20" s="330"/>
    </row>
    <row r="21" spans="1:10" ht="43.2" x14ac:dyDescent="0.3">
      <c r="A21" s="132" t="s">
        <v>428</v>
      </c>
      <c r="B21" s="136" t="s">
        <v>644</v>
      </c>
      <c r="C21" s="45"/>
      <c r="D21" s="135" t="s">
        <v>194</v>
      </c>
      <c r="E21" s="130">
        <f t="shared" si="0"/>
        <v>402.29999999999995</v>
      </c>
      <c r="F21" s="334">
        <v>1.49</v>
      </c>
      <c r="H21" s="327">
        <f t="shared" si="3"/>
        <v>134.1</v>
      </c>
      <c r="I21" s="327">
        <f t="shared" si="4"/>
        <v>402.29999999999995</v>
      </c>
      <c r="J21" s="330"/>
    </row>
    <row r="22" spans="1:10" x14ac:dyDescent="0.3">
      <c r="A22" s="45" t="s">
        <v>429</v>
      </c>
      <c r="B22" s="136" t="s">
        <v>430</v>
      </c>
      <c r="C22" s="45"/>
      <c r="D22" s="135" t="s">
        <v>194</v>
      </c>
      <c r="E22" s="130">
        <f t="shared" si="0"/>
        <v>248.39999999999998</v>
      </c>
      <c r="F22" s="334">
        <v>0.92</v>
      </c>
      <c r="H22" s="327">
        <f t="shared" si="3"/>
        <v>82.8</v>
      </c>
      <c r="I22" s="327">
        <f t="shared" si="4"/>
        <v>248.39999999999998</v>
      </c>
      <c r="J22" s="330"/>
    </row>
    <row r="23" spans="1:10" ht="28.8" x14ac:dyDescent="0.3">
      <c r="A23" s="132" t="s">
        <v>432</v>
      </c>
      <c r="B23" s="136" t="s">
        <v>433</v>
      </c>
      <c r="C23" s="45"/>
      <c r="D23" s="135" t="s">
        <v>194</v>
      </c>
      <c r="E23" s="130">
        <f t="shared" si="0"/>
        <v>162</v>
      </c>
      <c r="F23" s="334">
        <v>0.6</v>
      </c>
      <c r="H23" s="327">
        <f t="shared" si="3"/>
        <v>54</v>
      </c>
      <c r="I23" s="327">
        <f t="shared" si="4"/>
        <v>162</v>
      </c>
      <c r="J23" s="330"/>
    </row>
    <row r="24" spans="1:10" x14ac:dyDescent="0.3">
      <c r="A24" s="380" t="s">
        <v>610</v>
      </c>
      <c r="B24" s="319" t="s">
        <v>607</v>
      </c>
      <c r="C24" s="318" t="s">
        <v>606</v>
      </c>
      <c r="D24" s="135" t="s">
        <v>194</v>
      </c>
      <c r="E24" s="276">
        <f t="shared" si="0"/>
        <v>4735.5</v>
      </c>
      <c r="F24" s="334"/>
      <c r="H24" s="327">
        <v>1650</v>
      </c>
      <c r="I24" s="327">
        <f>H24*2.87</f>
        <v>4735.5</v>
      </c>
      <c r="J24" s="330"/>
    </row>
    <row r="25" spans="1:10" x14ac:dyDescent="0.3">
      <c r="A25" s="318" t="s">
        <v>611</v>
      </c>
      <c r="B25" s="319" t="s">
        <v>609</v>
      </c>
      <c r="C25" s="318" t="s">
        <v>608</v>
      </c>
      <c r="D25" s="135" t="s">
        <v>194</v>
      </c>
      <c r="E25" s="276">
        <f t="shared" si="0"/>
        <v>5266.45</v>
      </c>
      <c r="F25" s="331"/>
      <c r="H25" s="327">
        <v>1835</v>
      </c>
      <c r="I25" s="327">
        <f>H25*2.87</f>
        <v>5266.45</v>
      </c>
      <c r="J25" s="330"/>
    </row>
    <row r="26" spans="1:10" x14ac:dyDescent="0.3">
      <c r="A26" s="272" t="s">
        <v>201</v>
      </c>
      <c r="B26" s="272"/>
      <c r="C26" s="272"/>
      <c r="D26" s="272"/>
      <c r="E26" s="272"/>
      <c r="F26" s="328"/>
      <c r="H26" s="327" t="e">
        <v>#VALUE!</v>
      </c>
      <c r="I26" s="327" t="s">
        <v>326</v>
      </c>
    </row>
    <row r="27" spans="1:10" x14ac:dyDescent="0.3">
      <c r="A27" s="131" t="s">
        <v>334</v>
      </c>
      <c r="B27" s="49" t="s">
        <v>263</v>
      </c>
      <c r="C27" s="45" t="s">
        <v>196</v>
      </c>
      <c r="D27" s="135" t="s">
        <v>193</v>
      </c>
      <c r="E27" s="130">
        <f>I27/5.3</f>
        <v>473.63483773584903</v>
      </c>
      <c r="F27" s="332"/>
      <c r="H27" s="327">
        <v>883.89600000000007</v>
      </c>
      <c r="I27" s="327">
        <f>H27*2.84</f>
        <v>2510.2646399999999</v>
      </c>
    </row>
    <row r="28" spans="1:10" x14ac:dyDescent="0.3">
      <c r="A28" s="131" t="s">
        <v>335</v>
      </c>
      <c r="B28" s="49" t="s">
        <v>264</v>
      </c>
      <c r="C28" s="45" t="s">
        <v>197</v>
      </c>
      <c r="D28" s="135" t="s">
        <v>193</v>
      </c>
      <c r="E28" s="130">
        <f t="shared" ref="E28:E32" si="5">I28/5.3</f>
        <v>522.79041509433955</v>
      </c>
      <c r="F28" s="332"/>
      <c r="H28" s="327">
        <v>975.62999999999988</v>
      </c>
      <c r="I28" s="327">
        <f t="shared" ref="I28:I39" si="6">H28*2.84</f>
        <v>2770.7891999999997</v>
      </c>
    </row>
    <row r="29" spans="1:10" x14ac:dyDescent="0.3">
      <c r="A29" s="131" t="s">
        <v>336</v>
      </c>
      <c r="B29" s="49" t="s">
        <v>304</v>
      </c>
      <c r="C29" s="45" t="s">
        <v>305</v>
      </c>
      <c r="D29" s="135" t="s">
        <v>203</v>
      </c>
      <c r="E29" s="130">
        <f t="shared" si="5"/>
        <v>482.11947169811316</v>
      </c>
      <c r="F29" s="332"/>
      <c r="H29" s="327">
        <v>899.7299999999999</v>
      </c>
      <c r="I29" s="327">
        <f t="shared" si="6"/>
        <v>2555.2331999999997</v>
      </c>
    </row>
    <row r="30" spans="1:10" x14ac:dyDescent="0.3">
      <c r="A30" s="46" t="s">
        <v>337</v>
      </c>
      <c r="B30" s="60" t="s">
        <v>265</v>
      </c>
      <c r="C30" s="45" t="s">
        <v>198</v>
      </c>
      <c r="D30" s="135" t="s">
        <v>193</v>
      </c>
      <c r="E30" s="130">
        <f t="shared" si="5"/>
        <v>252.11162264150943</v>
      </c>
      <c r="F30" s="332"/>
      <c r="H30" s="327">
        <v>470.48999999999995</v>
      </c>
      <c r="I30" s="327">
        <f t="shared" si="6"/>
        <v>1336.1915999999999</v>
      </c>
    </row>
    <row r="31" spans="1:10" x14ac:dyDescent="0.3">
      <c r="A31" s="46" t="s">
        <v>338</v>
      </c>
      <c r="B31" s="60" t="s">
        <v>266</v>
      </c>
      <c r="C31" s="45" t="s">
        <v>197</v>
      </c>
      <c r="D31" s="135" t="s">
        <v>193</v>
      </c>
      <c r="E31" s="130">
        <f t="shared" si="5"/>
        <v>278.16996226415097</v>
      </c>
      <c r="F31" s="332"/>
      <c r="H31" s="327">
        <v>519.12</v>
      </c>
      <c r="I31" s="327">
        <f t="shared" si="6"/>
        <v>1474.3008</v>
      </c>
    </row>
    <row r="32" spans="1:10" x14ac:dyDescent="0.3">
      <c r="A32" s="46" t="s">
        <v>339</v>
      </c>
      <c r="B32" s="60" t="s">
        <v>306</v>
      </c>
      <c r="C32" s="45" t="s">
        <v>305</v>
      </c>
      <c r="D32" s="135" t="s">
        <v>193</v>
      </c>
      <c r="E32" s="130">
        <f t="shared" si="5"/>
        <v>256.6674113207547</v>
      </c>
      <c r="F32" s="332"/>
      <c r="H32" s="327">
        <v>478.99200000000002</v>
      </c>
      <c r="I32" s="327">
        <f t="shared" si="6"/>
        <v>1360.33728</v>
      </c>
    </row>
    <row r="33" spans="1:9" x14ac:dyDescent="0.3">
      <c r="A33" s="46" t="s">
        <v>340</v>
      </c>
      <c r="B33" s="60" t="s">
        <v>321</v>
      </c>
      <c r="C33" s="46"/>
      <c r="D33" s="135" t="s">
        <v>193</v>
      </c>
      <c r="E33" s="130">
        <f>I33/2.6</f>
        <v>520.27052307692293</v>
      </c>
      <c r="F33" s="332"/>
      <c r="H33" s="327">
        <v>476.30399999999997</v>
      </c>
      <c r="I33" s="327">
        <f t="shared" si="6"/>
        <v>1352.7033599999997</v>
      </c>
    </row>
    <row r="34" spans="1:9" x14ac:dyDescent="0.3">
      <c r="A34" s="46" t="s">
        <v>341</v>
      </c>
      <c r="B34" s="60" t="s">
        <v>322</v>
      </c>
      <c r="C34" s="46"/>
      <c r="D34" s="135" t="s">
        <v>193</v>
      </c>
      <c r="E34" s="130">
        <f>I34/2.6</f>
        <v>520.27052307692293</v>
      </c>
      <c r="F34" s="332"/>
      <c r="H34" s="327">
        <v>476.30399999999997</v>
      </c>
      <c r="I34" s="327">
        <f t="shared" si="6"/>
        <v>1352.7033599999997</v>
      </c>
    </row>
    <row r="35" spans="1:9" x14ac:dyDescent="0.3">
      <c r="A35" s="46" t="s">
        <v>342</v>
      </c>
      <c r="B35" s="49" t="s">
        <v>601</v>
      </c>
      <c r="C35" s="49"/>
      <c r="D35" s="135" t="s">
        <v>194</v>
      </c>
      <c r="E35" s="130">
        <f>I35</f>
        <v>1291.3763999999999</v>
      </c>
      <c r="F35" s="332"/>
      <c r="H35" s="327">
        <v>454.71</v>
      </c>
      <c r="I35" s="327">
        <f t="shared" si="6"/>
        <v>1291.3763999999999</v>
      </c>
    </row>
    <row r="36" spans="1:9" x14ac:dyDescent="0.3">
      <c r="A36" s="46" t="s">
        <v>343</v>
      </c>
      <c r="B36" s="49" t="s">
        <v>600</v>
      </c>
      <c r="C36" s="49"/>
      <c r="D36" s="135" t="s">
        <v>194</v>
      </c>
      <c r="E36" s="130">
        <f t="shared" ref="E36:E39" si="7">I36</f>
        <v>1162.24728</v>
      </c>
      <c r="F36" s="332"/>
      <c r="H36" s="327">
        <v>409.24200000000002</v>
      </c>
      <c r="I36" s="327">
        <f t="shared" si="6"/>
        <v>1162.24728</v>
      </c>
    </row>
    <row r="37" spans="1:9" x14ac:dyDescent="0.3">
      <c r="A37" s="46" t="s">
        <v>344</v>
      </c>
      <c r="B37" s="49" t="s">
        <v>307</v>
      </c>
      <c r="C37" s="49"/>
      <c r="D37" s="135" t="s">
        <v>194</v>
      </c>
      <c r="E37" s="130">
        <f t="shared" si="7"/>
        <v>1162.24728</v>
      </c>
      <c r="F37" s="332"/>
      <c r="H37" s="327">
        <v>409.24200000000002</v>
      </c>
      <c r="I37" s="327">
        <f t="shared" si="6"/>
        <v>1162.24728</v>
      </c>
    </row>
    <row r="38" spans="1:9" x14ac:dyDescent="0.3">
      <c r="A38" s="49" t="s">
        <v>267</v>
      </c>
      <c r="B38" s="49" t="s">
        <v>268</v>
      </c>
      <c r="C38" s="49"/>
      <c r="D38" s="135" t="s">
        <v>193</v>
      </c>
      <c r="E38" s="130">
        <f t="shared" si="7"/>
        <v>75.538319999999999</v>
      </c>
      <c r="F38" s="332"/>
      <c r="H38" s="327">
        <v>26.597999999999999</v>
      </c>
      <c r="I38" s="327">
        <f t="shared" si="6"/>
        <v>75.538319999999999</v>
      </c>
    </row>
    <row r="39" spans="1:9" x14ac:dyDescent="0.3">
      <c r="A39" s="49" t="s">
        <v>333</v>
      </c>
      <c r="B39" s="49" t="s">
        <v>332</v>
      </c>
      <c r="C39" s="49"/>
      <c r="D39" s="135" t="s">
        <v>193</v>
      </c>
      <c r="E39" s="130">
        <f t="shared" si="7"/>
        <v>75.538319999999999</v>
      </c>
      <c r="F39" s="332"/>
      <c r="H39" s="327">
        <v>26.597999999999999</v>
      </c>
      <c r="I39" s="327">
        <f t="shared" si="6"/>
        <v>75.538319999999999</v>
      </c>
    </row>
    <row r="40" spans="1:9" x14ac:dyDescent="0.3">
      <c r="A40" s="272" t="s">
        <v>675</v>
      </c>
      <c r="B40" s="272"/>
      <c r="C40" s="272"/>
      <c r="D40" s="272"/>
      <c r="E40" s="272"/>
      <c r="F40" s="328"/>
      <c r="I40" s="327">
        <f t="shared" ref="I40" si="8">H40*2.75</f>
        <v>0</v>
      </c>
    </row>
    <row r="41" spans="1:9" x14ac:dyDescent="0.3">
      <c r="A41" s="45" t="s">
        <v>593</v>
      </c>
      <c r="B41" s="49" t="s">
        <v>590</v>
      </c>
      <c r="C41" s="45" t="s">
        <v>196</v>
      </c>
      <c r="D41" s="135" t="s">
        <v>194</v>
      </c>
      <c r="E41" s="130">
        <f>I41</f>
        <v>4516.5372000000007</v>
      </c>
      <c r="F41" s="329"/>
      <c r="H41" s="327">
        <v>1590.3300000000002</v>
      </c>
      <c r="I41" s="327">
        <f>H41*2.84</f>
        <v>4516.5372000000007</v>
      </c>
    </row>
    <row r="42" spans="1:9" x14ac:dyDescent="0.3">
      <c r="A42" s="45" t="s">
        <v>592</v>
      </c>
      <c r="B42" s="49" t="s">
        <v>591</v>
      </c>
      <c r="C42" s="45" t="s">
        <v>196</v>
      </c>
      <c r="D42" s="135" t="s">
        <v>194</v>
      </c>
      <c r="E42" s="130">
        <f>I42</f>
        <v>5714.7047999999995</v>
      </c>
      <c r="F42" s="329"/>
      <c r="H42" s="327">
        <v>2012.2199999999998</v>
      </c>
      <c r="I42" s="327">
        <f t="shared" ref="I42:I54" si="9">H42*2.84</f>
        <v>5714.7047999999995</v>
      </c>
    </row>
    <row r="43" spans="1:9" x14ac:dyDescent="0.3">
      <c r="A43" s="312" t="s">
        <v>404</v>
      </c>
      <c r="B43" s="313" t="s">
        <v>403</v>
      </c>
      <c r="C43" s="312" t="s">
        <v>197</v>
      </c>
      <c r="D43" s="135" t="s">
        <v>194</v>
      </c>
      <c r="E43" s="130">
        <f t="shared" ref="E43:E50" si="10">I43</f>
        <v>4982.7686399999993</v>
      </c>
      <c r="F43" s="329"/>
      <c r="H43" s="327">
        <v>1754.4959999999999</v>
      </c>
      <c r="I43" s="327">
        <f t="shared" si="9"/>
        <v>4982.7686399999993</v>
      </c>
    </row>
    <row r="44" spans="1:9" x14ac:dyDescent="0.3">
      <c r="A44" s="312" t="s">
        <v>406</v>
      </c>
      <c r="B44" s="313" t="s">
        <v>405</v>
      </c>
      <c r="C44" s="312" t="s">
        <v>197</v>
      </c>
      <c r="D44" s="135" t="s">
        <v>194</v>
      </c>
      <c r="E44" s="130">
        <f t="shared" si="10"/>
        <v>6305.9416799999999</v>
      </c>
      <c r="F44" s="329"/>
      <c r="H44" s="327">
        <v>2220.402</v>
      </c>
      <c r="I44" s="327">
        <f t="shared" si="9"/>
        <v>6305.9416799999999</v>
      </c>
    </row>
    <row r="45" spans="1:9" x14ac:dyDescent="0.3">
      <c r="A45" s="339" t="s">
        <v>493</v>
      </c>
      <c r="B45" s="340" t="s">
        <v>495</v>
      </c>
      <c r="C45" s="339" t="s">
        <v>197</v>
      </c>
      <c r="D45" s="341" t="s">
        <v>194</v>
      </c>
      <c r="E45" s="130">
        <f t="shared" si="10"/>
        <v>5277.0835199999992</v>
      </c>
      <c r="F45" s="342"/>
      <c r="H45" s="327">
        <v>1858.1279999999999</v>
      </c>
      <c r="I45" s="327">
        <f t="shared" si="9"/>
        <v>5277.0835199999992</v>
      </c>
    </row>
    <row r="46" spans="1:9" x14ac:dyDescent="0.3">
      <c r="A46" s="339" t="s">
        <v>494</v>
      </c>
      <c r="B46" s="340" t="s">
        <v>496</v>
      </c>
      <c r="C46" s="339" t="s">
        <v>197</v>
      </c>
      <c r="D46" s="341" t="s">
        <v>194</v>
      </c>
      <c r="E46" s="130">
        <f t="shared" si="10"/>
        <v>6468.7077599999993</v>
      </c>
      <c r="F46" s="342"/>
      <c r="H46" s="327">
        <v>2277.7139999999999</v>
      </c>
      <c r="I46" s="327">
        <f t="shared" si="9"/>
        <v>6468.7077599999993</v>
      </c>
    </row>
    <row r="47" spans="1:9" x14ac:dyDescent="0.3">
      <c r="A47" s="46" t="s">
        <v>345</v>
      </c>
      <c r="B47" s="60" t="s">
        <v>308</v>
      </c>
      <c r="C47" s="45" t="s">
        <v>305</v>
      </c>
      <c r="D47" s="135" t="s">
        <v>194</v>
      </c>
      <c r="E47" s="130">
        <f t="shared" si="10"/>
        <v>5816.2631999999994</v>
      </c>
      <c r="F47" s="329"/>
      <c r="H47" s="327">
        <v>2047.98</v>
      </c>
      <c r="I47" s="327">
        <f t="shared" si="9"/>
        <v>5816.2631999999994</v>
      </c>
    </row>
    <row r="48" spans="1:9" x14ac:dyDescent="0.3">
      <c r="A48" s="46" t="s">
        <v>346</v>
      </c>
      <c r="B48" s="49" t="s">
        <v>309</v>
      </c>
      <c r="C48" s="45" t="s">
        <v>305</v>
      </c>
      <c r="D48" s="135" t="s">
        <v>194</v>
      </c>
      <c r="E48" s="130">
        <f t="shared" si="10"/>
        <v>4595.9776799999991</v>
      </c>
      <c r="F48" s="329"/>
      <c r="H48" s="327">
        <v>1618.3019999999999</v>
      </c>
      <c r="I48" s="327">
        <f t="shared" si="9"/>
        <v>4595.9776799999991</v>
      </c>
    </row>
    <row r="49" spans="1:9" x14ac:dyDescent="0.3">
      <c r="A49" s="45" t="s">
        <v>94</v>
      </c>
      <c r="B49" s="45" t="s">
        <v>331</v>
      </c>
      <c r="C49" s="45"/>
      <c r="D49" s="135" t="s">
        <v>203</v>
      </c>
      <c r="E49" s="130">
        <f>I49/2.7</f>
        <v>72.653511111111101</v>
      </c>
      <c r="F49" s="329"/>
      <c r="H49" s="327">
        <v>69.072000000000003</v>
      </c>
      <c r="I49" s="327">
        <f t="shared" si="9"/>
        <v>196.16448</v>
      </c>
    </row>
    <row r="50" spans="1:9" x14ac:dyDescent="0.3">
      <c r="A50" s="45" t="s">
        <v>348</v>
      </c>
      <c r="B50" s="353" t="s">
        <v>565</v>
      </c>
      <c r="C50" s="45" t="s">
        <v>305</v>
      </c>
      <c r="D50" s="135" t="s">
        <v>202</v>
      </c>
      <c r="E50" s="130">
        <f t="shared" si="10"/>
        <v>11629.8</v>
      </c>
      <c r="F50" s="329"/>
      <c r="H50" s="327">
        <v>4095</v>
      </c>
      <c r="I50" s="327">
        <f t="shared" si="9"/>
        <v>11629.8</v>
      </c>
    </row>
    <row r="51" spans="1:9" x14ac:dyDescent="0.3">
      <c r="A51" s="45" t="s">
        <v>349</v>
      </c>
      <c r="B51" s="60" t="s">
        <v>350</v>
      </c>
      <c r="C51" s="45" t="s">
        <v>305</v>
      </c>
      <c r="D51" s="135" t="s">
        <v>202</v>
      </c>
      <c r="E51" s="130">
        <f>I51</f>
        <v>1699.74</v>
      </c>
      <c r="F51" s="329"/>
      <c r="H51" s="327">
        <v>598.5</v>
      </c>
      <c r="I51" s="327">
        <f t="shared" si="9"/>
        <v>1699.74</v>
      </c>
    </row>
    <row r="52" spans="1:9" x14ac:dyDescent="0.3">
      <c r="A52" s="277" t="s">
        <v>392</v>
      </c>
      <c r="B52" s="353" t="s">
        <v>566</v>
      </c>
      <c r="C52" s="45"/>
      <c r="D52" s="135" t="s">
        <v>202</v>
      </c>
      <c r="E52" s="276">
        <f>I52</f>
        <v>11629.8</v>
      </c>
      <c r="F52" s="331"/>
      <c r="H52" s="333">
        <v>4095</v>
      </c>
      <c r="I52" s="327">
        <f t="shared" si="9"/>
        <v>11629.8</v>
      </c>
    </row>
    <row r="53" spans="1:9" x14ac:dyDescent="0.3">
      <c r="A53" s="45" t="s">
        <v>393</v>
      </c>
      <c r="B53" s="45" t="s">
        <v>391</v>
      </c>
      <c r="C53" s="45"/>
      <c r="D53" s="135" t="s">
        <v>202</v>
      </c>
      <c r="E53" s="276">
        <f>I53</f>
        <v>1699.74</v>
      </c>
      <c r="F53" s="331"/>
      <c r="H53" s="327">
        <v>598.5</v>
      </c>
      <c r="I53" s="327">
        <f t="shared" si="9"/>
        <v>1699.74</v>
      </c>
    </row>
    <row r="54" spans="1:9" x14ac:dyDescent="0.3">
      <c r="A54" s="339" t="s">
        <v>497</v>
      </c>
      <c r="B54" s="339" t="s">
        <v>498</v>
      </c>
      <c r="C54" s="339"/>
      <c r="D54" s="339" t="s">
        <v>499</v>
      </c>
      <c r="E54" s="276">
        <f>I54/3</f>
        <v>67.671520000000001</v>
      </c>
      <c r="F54" s="343"/>
      <c r="H54" s="327">
        <v>71.483999999999995</v>
      </c>
      <c r="I54" s="327">
        <f t="shared" si="9"/>
        <v>203.01455999999999</v>
      </c>
    </row>
    <row r="55" spans="1:9" x14ac:dyDescent="0.3">
      <c r="A55" s="272" t="s">
        <v>674</v>
      </c>
      <c r="B55" s="272"/>
      <c r="C55" s="272"/>
      <c r="D55" s="272"/>
      <c r="E55" s="272"/>
      <c r="F55" s="328"/>
      <c r="H55" s="327" t="s">
        <v>668</v>
      </c>
    </row>
    <row r="56" spans="1:9" x14ac:dyDescent="0.3">
      <c r="A56" s="45" t="s">
        <v>669</v>
      </c>
      <c r="B56" s="49" t="s">
        <v>666</v>
      </c>
      <c r="C56" s="45"/>
      <c r="D56" s="135" t="s">
        <v>194</v>
      </c>
      <c r="E56" s="130">
        <f>I56</f>
        <v>6160.1133600000003</v>
      </c>
      <c r="F56" s="329"/>
      <c r="H56" s="327">
        <v>2169.0540000000001</v>
      </c>
      <c r="I56" s="327">
        <f>H56*2.84</f>
        <v>6160.1133600000003</v>
      </c>
    </row>
    <row r="57" spans="1:9" x14ac:dyDescent="0.3">
      <c r="A57" s="45" t="s">
        <v>670</v>
      </c>
      <c r="B57" s="49" t="s">
        <v>664</v>
      </c>
      <c r="C57" s="45"/>
      <c r="D57" s="135" t="s">
        <v>194</v>
      </c>
      <c r="E57" s="130">
        <f t="shared" ref="E57:E59" si="11">I57</f>
        <v>7409.0431199999994</v>
      </c>
      <c r="F57" s="329"/>
      <c r="H57" s="327">
        <v>2608.8179999999998</v>
      </c>
      <c r="I57" s="327">
        <f t="shared" ref="I57:I59" si="12">H57*2.84</f>
        <v>7409.0431199999994</v>
      </c>
    </row>
    <row r="58" spans="1:9" x14ac:dyDescent="0.3">
      <c r="A58" s="312" t="s">
        <v>671</v>
      </c>
      <c r="B58" s="313" t="s">
        <v>660</v>
      </c>
      <c r="C58" s="312"/>
      <c r="D58" s="135" t="s">
        <v>672</v>
      </c>
      <c r="E58" s="130">
        <f t="shared" si="11"/>
        <v>24468.434639999999</v>
      </c>
      <c r="F58" s="329"/>
      <c r="H58" s="327">
        <v>8615.6460000000006</v>
      </c>
      <c r="I58" s="327">
        <f t="shared" si="12"/>
        <v>24468.434639999999</v>
      </c>
    </row>
    <row r="59" spans="1:9" x14ac:dyDescent="0.3">
      <c r="A59" s="312" t="s">
        <v>673</v>
      </c>
      <c r="B59" s="313" t="s">
        <v>661</v>
      </c>
      <c r="C59" s="312"/>
      <c r="D59" s="135" t="s">
        <v>672</v>
      </c>
      <c r="E59" s="130">
        <f t="shared" si="11"/>
        <v>5787.5337600000003</v>
      </c>
      <c r="F59" s="329"/>
      <c r="H59" s="327">
        <v>2037.864</v>
      </c>
      <c r="I59" s="327">
        <f t="shared" si="12"/>
        <v>5787.5337600000003</v>
      </c>
    </row>
    <row r="60" spans="1:9" x14ac:dyDescent="0.3">
      <c r="A60" s="272" t="s">
        <v>50</v>
      </c>
      <c r="B60" s="272"/>
      <c r="C60" s="272"/>
      <c r="D60" s="272"/>
      <c r="E60" s="272"/>
      <c r="F60" s="328"/>
    </row>
    <row r="61" spans="1:9" x14ac:dyDescent="0.3">
      <c r="A61" s="21" t="s">
        <v>172</v>
      </c>
      <c r="B61" s="21" t="s">
        <v>614</v>
      </c>
      <c r="C61" s="45"/>
      <c r="D61" s="45" t="s">
        <v>452</v>
      </c>
      <c r="E61" s="130">
        <f>I61</f>
        <v>14569.199999999999</v>
      </c>
      <c r="F61" s="329"/>
      <c r="H61" s="327">
        <v>5130</v>
      </c>
      <c r="I61" s="327">
        <f t="shared" ref="I61:I83" si="13">H61*2.84</f>
        <v>14569.199999999999</v>
      </c>
    </row>
    <row r="62" spans="1:9" x14ac:dyDescent="0.3">
      <c r="A62" s="21" t="s">
        <v>158</v>
      </c>
      <c r="B62" s="21" t="s">
        <v>615</v>
      </c>
      <c r="C62" s="45"/>
      <c r="D62" s="45" t="s">
        <v>453</v>
      </c>
      <c r="E62" s="130">
        <f t="shared" ref="E62:E83" si="14">I62</f>
        <v>7659.48</v>
      </c>
      <c r="F62" s="329"/>
      <c r="H62" s="327">
        <v>2697</v>
      </c>
      <c r="I62" s="327">
        <f t="shared" si="13"/>
        <v>7659.48</v>
      </c>
    </row>
    <row r="63" spans="1:9" x14ac:dyDescent="0.3">
      <c r="A63" s="21" t="s">
        <v>159</v>
      </c>
      <c r="B63" s="21" t="s">
        <v>619</v>
      </c>
      <c r="C63" s="45"/>
      <c r="D63" s="45" t="s">
        <v>454</v>
      </c>
      <c r="E63" s="130">
        <f t="shared" si="14"/>
        <v>6483.7199999999993</v>
      </c>
      <c r="F63" s="329"/>
      <c r="H63" s="327">
        <v>2283</v>
      </c>
      <c r="I63" s="327">
        <f t="shared" si="13"/>
        <v>6483.7199999999993</v>
      </c>
    </row>
    <row r="64" spans="1:9" x14ac:dyDescent="0.3">
      <c r="A64" s="21" t="s">
        <v>302</v>
      </c>
      <c r="B64" s="249" t="s">
        <v>616</v>
      </c>
      <c r="C64" s="45"/>
      <c r="D64" s="45" t="s">
        <v>455</v>
      </c>
      <c r="E64" s="130">
        <f t="shared" si="14"/>
        <v>9854.7999999999993</v>
      </c>
      <c r="F64" s="329"/>
      <c r="H64" s="327">
        <v>3470</v>
      </c>
      <c r="I64" s="327">
        <f t="shared" si="13"/>
        <v>9854.7999999999993</v>
      </c>
    </row>
    <row r="65" spans="1:9" x14ac:dyDescent="0.3">
      <c r="A65" s="21" t="s">
        <v>160</v>
      </c>
      <c r="B65" s="21" t="s">
        <v>617</v>
      </c>
      <c r="C65" s="45"/>
      <c r="D65" s="45" t="s">
        <v>456</v>
      </c>
      <c r="E65" s="130">
        <f t="shared" si="14"/>
        <v>8068.44</v>
      </c>
      <c r="F65" s="329"/>
      <c r="H65" s="327">
        <v>2841</v>
      </c>
      <c r="I65" s="327">
        <f t="shared" si="13"/>
        <v>8068.44</v>
      </c>
    </row>
    <row r="66" spans="1:9" x14ac:dyDescent="0.3">
      <c r="A66" s="21" t="s">
        <v>161</v>
      </c>
      <c r="B66" s="21" t="s">
        <v>618</v>
      </c>
      <c r="C66" s="45"/>
      <c r="D66" s="45" t="s">
        <v>457</v>
      </c>
      <c r="E66" s="130">
        <f t="shared" si="14"/>
        <v>8068.44</v>
      </c>
      <c r="F66" s="329"/>
      <c r="H66" s="327">
        <v>2841</v>
      </c>
      <c r="I66" s="327">
        <f t="shared" si="13"/>
        <v>8068.44</v>
      </c>
    </row>
    <row r="67" spans="1:9" x14ac:dyDescent="0.3">
      <c r="A67" s="21" t="s">
        <v>174</v>
      </c>
      <c r="B67" s="21" t="s">
        <v>219</v>
      </c>
      <c r="C67" s="45"/>
      <c r="D67" s="45" t="s">
        <v>458</v>
      </c>
      <c r="E67" s="130">
        <f t="shared" si="14"/>
        <v>6341.7199999999993</v>
      </c>
      <c r="F67" s="329"/>
      <c r="H67" s="327">
        <v>2233</v>
      </c>
      <c r="I67" s="327">
        <f t="shared" si="13"/>
        <v>6341.7199999999993</v>
      </c>
    </row>
    <row r="68" spans="1:9" x14ac:dyDescent="0.3">
      <c r="A68" s="21" t="s">
        <v>163</v>
      </c>
      <c r="B68" s="21" t="s">
        <v>220</v>
      </c>
      <c r="C68" s="45"/>
      <c r="D68" s="45" t="s">
        <v>459</v>
      </c>
      <c r="E68" s="130">
        <f t="shared" si="14"/>
        <v>7469.2</v>
      </c>
      <c r="F68" s="329"/>
      <c r="H68" s="327">
        <v>2630</v>
      </c>
      <c r="I68" s="327">
        <f t="shared" si="13"/>
        <v>7469.2</v>
      </c>
    </row>
    <row r="69" spans="1:9" x14ac:dyDescent="0.3">
      <c r="A69" s="21" t="s">
        <v>164</v>
      </c>
      <c r="B69" s="21" t="s">
        <v>221</v>
      </c>
      <c r="C69" s="45"/>
      <c r="D69" s="45" t="s">
        <v>460</v>
      </c>
      <c r="E69" s="130">
        <f t="shared" si="14"/>
        <v>7469.2</v>
      </c>
      <c r="F69" s="329"/>
      <c r="H69" s="327">
        <v>2630</v>
      </c>
      <c r="I69" s="327">
        <f t="shared" si="13"/>
        <v>7469.2</v>
      </c>
    </row>
    <row r="70" spans="1:9" x14ac:dyDescent="0.3">
      <c r="A70" s="21" t="s">
        <v>179</v>
      </c>
      <c r="B70" s="21" t="s">
        <v>613</v>
      </c>
      <c r="C70" s="45"/>
      <c r="D70" s="45" t="s">
        <v>461</v>
      </c>
      <c r="E70" s="130">
        <f t="shared" si="14"/>
        <v>4262.84</v>
      </c>
      <c r="F70" s="329"/>
      <c r="H70" s="327">
        <v>1501</v>
      </c>
      <c r="I70" s="327">
        <f t="shared" si="13"/>
        <v>4262.84</v>
      </c>
    </row>
    <row r="71" spans="1:9" x14ac:dyDescent="0.3">
      <c r="A71" s="21" t="s">
        <v>688</v>
      </c>
      <c r="B71" s="21" t="s">
        <v>689</v>
      </c>
      <c r="C71" s="45"/>
      <c r="D71" s="45"/>
      <c r="E71" s="130">
        <f t="shared" si="14"/>
        <v>6296.28</v>
      </c>
      <c r="F71" s="329"/>
      <c r="H71" s="327">
        <v>2217</v>
      </c>
      <c r="I71" s="327">
        <f t="shared" si="13"/>
        <v>6296.28</v>
      </c>
    </row>
    <row r="72" spans="1:9" x14ac:dyDescent="0.3">
      <c r="A72" s="21" t="s">
        <v>165</v>
      </c>
      <c r="B72" s="21" t="s">
        <v>473</v>
      </c>
      <c r="C72" s="45"/>
      <c r="D72" s="45" t="s">
        <v>462</v>
      </c>
      <c r="E72" s="130">
        <f t="shared" si="14"/>
        <v>6796.12</v>
      </c>
      <c r="F72" s="329"/>
      <c r="H72" s="327">
        <v>2393</v>
      </c>
      <c r="I72" s="327">
        <f t="shared" si="13"/>
        <v>6796.12</v>
      </c>
    </row>
    <row r="73" spans="1:9" x14ac:dyDescent="0.3">
      <c r="A73" s="21" t="s">
        <v>166</v>
      </c>
      <c r="B73" s="21" t="s">
        <v>409</v>
      </c>
      <c r="C73" s="45"/>
      <c r="D73" s="45" t="s">
        <v>463</v>
      </c>
      <c r="E73" s="130">
        <f t="shared" si="14"/>
        <v>4597.96</v>
      </c>
      <c r="F73" s="329"/>
      <c r="H73" s="327">
        <v>1619</v>
      </c>
      <c r="I73" s="327">
        <f t="shared" si="13"/>
        <v>4597.96</v>
      </c>
    </row>
    <row r="74" spans="1:9" x14ac:dyDescent="0.3">
      <c r="A74" s="21" t="s">
        <v>167</v>
      </c>
      <c r="B74" s="21" t="s">
        <v>410</v>
      </c>
      <c r="C74" s="45"/>
      <c r="D74" s="45" t="s">
        <v>464</v>
      </c>
      <c r="E74" s="130">
        <f t="shared" si="14"/>
        <v>7304.48</v>
      </c>
      <c r="F74" s="329"/>
      <c r="H74" s="327">
        <v>2572</v>
      </c>
      <c r="I74" s="327">
        <f t="shared" si="13"/>
        <v>7304.48</v>
      </c>
    </row>
    <row r="75" spans="1:9" x14ac:dyDescent="0.3">
      <c r="A75" s="21" t="s">
        <v>168</v>
      </c>
      <c r="B75" s="21" t="s">
        <v>698</v>
      </c>
      <c r="C75" s="45"/>
      <c r="D75" s="45" t="s">
        <v>465</v>
      </c>
      <c r="E75" s="130">
        <f t="shared" si="14"/>
        <v>6946.6399999999994</v>
      </c>
      <c r="F75" s="329"/>
      <c r="H75" s="327">
        <v>2446</v>
      </c>
      <c r="I75" s="327">
        <f t="shared" si="13"/>
        <v>6946.6399999999994</v>
      </c>
    </row>
    <row r="76" spans="1:9" x14ac:dyDescent="0.3">
      <c r="A76" s="21" t="s">
        <v>169</v>
      </c>
      <c r="B76" s="21" t="s">
        <v>699</v>
      </c>
      <c r="C76" s="45"/>
      <c r="D76" s="45" t="s">
        <v>466</v>
      </c>
      <c r="E76" s="130">
        <f t="shared" si="14"/>
        <v>6767.7199999999993</v>
      </c>
      <c r="F76" s="329"/>
      <c r="H76" s="327">
        <v>2383</v>
      </c>
      <c r="I76" s="327">
        <f t="shared" si="13"/>
        <v>6767.7199999999993</v>
      </c>
    </row>
    <row r="77" spans="1:9" x14ac:dyDescent="0.3">
      <c r="A77" s="21" t="s">
        <v>170</v>
      </c>
      <c r="B77" s="21" t="s">
        <v>700</v>
      </c>
      <c r="C77" s="45"/>
      <c r="D77" s="45" t="s">
        <v>468</v>
      </c>
      <c r="E77" s="130">
        <f t="shared" si="14"/>
        <v>9039.7199999999993</v>
      </c>
      <c r="F77" s="329"/>
      <c r="H77" s="327">
        <v>3183</v>
      </c>
      <c r="I77" s="327">
        <f t="shared" si="13"/>
        <v>9039.7199999999993</v>
      </c>
    </row>
    <row r="78" spans="1:9" x14ac:dyDescent="0.3">
      <c r="A78" s="21" t="s">
        <v>171</v>
      </c>
      <c r="B78" s="21" t="s">
        <v>701</v>
      </c>
      <c r="C78" s="45"/>
      <c r="D78" s="45" t="s">
        <v>467</v>
      </c>
      <c r="E78" s="130">
        <f t="shared" si="14"/>
        <v>9039.7199999999993</v>
      </c>
      <c r="F78" s="329"/>
      <c r="H78" s="327">
        <v>3183</v>
      </c>
      <c r="I78" s="327">
        <f t="shared" si="13"/>
        <v>9039.7199999999993</v>
      </c>
    </row>
    <row r="79" spans="1:9" x14ac:dyDescent="0.3">
      <c r="A79" s="49" t="s">
        <v>218</v>
      </c>
      <c r="B79" s="21"/>
      <c r="C79" s="45"/>
      <c r="D79" s="45"/>
      <c r="E79" s="130" t="e">
        <f t="shared" si="14"/>
        <v>#N/A</v>
      </c>
      <c r="F79" s="329"/>
      <c r="H79" s="327" t="e">
        <v>#N/A</v>
      </c>
      <c r="I79" s="327" t="e">
        <f t="shared" si="13"/>
        <v>#N/A</v>
      </c>
    </row>
    <row r="80" spans="1:9" x14ac:dyDescent="0.3">
      <c r="A80" s="21" t="s">
        <v>176</v>
      </c>
      <c r="B80" s="21" t="s">
        <v>703</v>
      </c>
      <c r="C80" s="45"/>
      <c r="D80" s="45" t="s">
        <v>469</v>
      </c>
      <c r="E80" s="130">
        <f t="shared" si="14"/>
        <v>6963.6799999999994</v>
      </c>
      <c r="F80" s="329"/>
      <c r="H80" s="327">
        <v>2452</v>
      </c>
      <c r="I80" s="327">
        <f t="shared" si="13"/>
        <v>6963.6799999999994</v>
      </c>
    </row>
    <row r="81" spans="1:9" x14ac:dyDescent="0.3">
      <c r="A81" s="21" t="s">
        <v>175</v>
      </c>
      <c r="B81" s="21" t="s">
        <v>702</v>
      </c>
      <c r="C81" s="45"/>
      <c r="D81" s="45" t="s">
        <v>470</v>
      </c>
      <c r="E81" s="130">
        <f t="shared" si="14"/>
        <v>5626.04</v>
      </c>
      <c r="F81" s="329"/>
      <c r="H81" s="327">
        <v>1981</v>
      </c>
      <c r="I81" s="327">
        <f t="shared" si="13"/>
        <v>5626.04</v>
      </c>
    </row>
    <row r="82" spans="1:9" x14ac:dyDescent="0.3">
      <c r="A82" s="21" t="s">
        <v>177</v>
      </c>
      <c r="B82" s="21" t="s">
        <v>704</v>
      </c>
      <c r="C82" s="45"/>
      <c r="D82" s="45" t="s">
        <v>471</v>
      </c>
      <c r="E82" s="130">
        <f t="shared" si="14"/>
        <v>11749.08</v>
      </c>
      <c r="F82" s="329"/>
      <c r="H82" s="327">
        <v>4137</v>
      </c>
      <c r="I82" s="327">
        <f t="shared" si="13"/>
        <v>11749.08</v>
      </c>
    </row>
    <row r="83" spans="1:9" x14ac:dyDescent="0.3">
      <c r="A83" s="21" t="s">
        <v>178</v>
      </c>
      <c r="B83" s="21" t="s">
        <v>227</v>
      </c>
      <c r="C83" s="45"/>
      <c r="D83" s="45" t="s">
        <v>472</v>
      </c>
      <c r="E83" s="130">
        <f t="shared" si="14"/>
        <v>10573.32</v>
      </c>
      <c r="F83" s="329"/>
      <c r="H83" s="327">
        <v>3723</v>
      </c>
      <c r="I83" s="327">
        <f t="shared" si="13"/>
        <v>10573.32</v>
      </c>
    </row>
    <row r="84" spans="1:9" x14ac:dyDescent="0.3">
      <c r="A84" s="272" t="s">
        <v>298</v>
      </c>
      <c r="B84" s="272"/>
      <c r="C84" s="272"/>
      <c r="D84" s="272"/>
      <c r="E84" s="272"/>
      <c r="F84" s="328"/>
    </row>
    <row r="85" spans="1:9" x14ac:dyDescent="0.3">
      <c r="A85" s="46" t="s">
        <v>327</v>
      </c>
      <c r="B85" s="60" t="s">
        <v>351</v>
      </c>
      <c r="C85" s="45"/>
      <c r="D85" s="45"/>
      <c r="E85" s="130">
        <f>I85</f>
        <v>4893.8198399999992</v>
      </c>
      <c r="F85" s="329"/>
      <c r="H85" s="267">
        <v>1723.1759999999999</v>
      </c>
      <c r="I85" s="327">
        <f>H85*2.84</f>
        <v>4893.8198399999992</v>
      </c>
    </row>
    <row r="86" spans="1:9" x14ac:dyDescent="0.3">
      <c r="A86" s="46" t="s">
        <v>328</v>
      </c>
      <c r="B86" s="60" t="s">
        <v>297</v>
      </c>
      <c r="C86" s="45"/>
      <c r="D86" s="45"/>
      <c r="E86" s="130">
        <f t="shared" ref="E86:E89" si="15">I86</f>
        <v>1090.7253000000001</v>
      </c>
      <c r="F86" s="329"/>
      <c r="H86" s="267">
        <v>445.19400000000002</v>
      </c>
      <c r="I86" s="327">
        <f>H86*2.45</f>
        <v>1090.7253000000001</v>
      </c>
    </row>
    <row r="87" spans="1:9" x14ac:dyDescent="0.3">
      <c r="A87" s="46" t="s">
        <v>329</v>
      </c>
      <c r="B87" s="60" t="s">
        <v>295</v>
      </c>
      <c r="C87" s="45"/>
      <c r="D87" s="45"/>
      <c r="E87" s="130">
        <f t="shared" si="15"/>
        <v>420.25830000000002</v>
      </c>
      <c r="F87" s="329"/>
      <c r="H87" s="267">
        <v>171.53399999999999</v>
      </c>
      <c r="I87" s="327">
        <f t="shared" ref="I87:I89" si="16">H87*2.45</f>
        <v>420.25830000000002</v>
      </c>
    </row>
    <row r="88" spans="1:9" x14ac:dyDescent="0.3">
      <c r="A88" s="46" t="s">
        <v>330</v>
      </c>
      <c r="B88" s="60" t="s">
        <v>296</v>
      </c>
      <c r="C88" s="45"/>
      <c r="D88" s="45"/>
      <c r="E88" s="130">
        <f t="shared" si="15"/>
        <v>932.90610000000015</v>
      </c>
      <c r="F88" s="329"/>
      <c r="H88" s="267">
        <v>380.77800000000002</v>
      </c>
      <c r="I88" s="327">
        <f t="shared" si="16"/>
        <v>932.90610000000015</v>
      </c>
    </row>
    <row r="89" spans="1:9" x14ac:dyDescent="0.3">
      <c r="A89" s="45" t="s">
        <v>353</v>
      </c>
      <c r="B89" s="45" t="s">
        <v>598</v>
      </c>
      <c r="C89" s="45"/>
      <c r="D89" s="45"/>
      <c r="E89" s="130">
        <f t="shared" si="15"/>
        <v>91.727999999999994</v>
      </c>
      <c r="F89" s="329"/>
      <c r="H89" s="327">
        <v>37.44</v>
      </c>
      <c r="I89" s="327">
        <f t="shared" si="16"/>
        <v>91.727999999999994</v>
      </c>
    </row>
    <row r="91" spans="1:9" x14ac:dyDescent="0.3">
      <c r="A91" s="5" t="s">
        <v>575</v>
      </c>
      <c r="B91" s="5" t="s">
        <v>575</v>
      </c>
      <c r="E91" s="130">
        <f t="shared" ref="E91" si="17">I91</f>
        <v>198.79999999999998</v>
      </c>
      <c r="H91" s="327">
        <v>70</v>
      </c>
      <c r="I91" s="327">
        <f>H91*2.84</f>
        <v>198.79999999999998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3"/>
  <dimension ref="A1:D66"/>
  <sheetViews>
    <sheetView topLeftCell="A41" workbookViewId="0">
      <selection activeCell="G56" sqref="G56"/>
    </sheetView>
  </sheetViews>
  <sheetFormatPr defaultRowHeight="14.4" x14ac:dyDescent="0.3"/>
  <cols>
    <col min="1" max="1" width="12.44140625" customWidth="1"/>
    <col min="2" max="2" width="76.33203125" customWidth="1"/>
    <col min="3" max="3" width="67.6640625" customWidth="1"/>
    <col min="4" max="4" width="15.33203125" customWidth="1"/>
  </cols>
  <sheetData>
    <row r="1" spans="1:4" x14ac:dyDescent="0.3">
      <c r="A1" t="s">
        <v>476</v>
      </c>
      <c r="B1" t="s">
        <v>477</v>
      </c>
      <c r="C1" t="s">
        <v>478</v>
      </c>
      <c r="D1" t="s">
        <v>479</v>
      </c>
    </row>
    <row r="2" spans="1:4" x14ac:dyDescent="0.3">
      <c r="A2" s="336">
        <v>44666</v>
      </c>
      <c r="B2" t="s">
        <v>480</v>
      </c>
      <c r="D2" t="s">
        <v>481</v>
      </c>
    </row>
    <row r="3" spans="1:4" x14ac:dyDescent="0.3">
      <c r="A3" s="336">
        <v>44678</v>
      </c>
      <c r="B3" t="s">
        <v>482</v>
      </c>
      <c r="D3" t="s">
        <v>484</v>
      </c>
    </row>
    <row r="4" spans="1:4" x14ac:dyDescent="0.3">
      <c r="A4" s="336">
        <v>44678</v>
      </c>
      <c r="B4" t="s">
        <v>483</v>
      </c>
      <c r="D4" t="s">
        <v>484</v>
      </c>
    </row>
    <row r="5" spans="1:4" x14ac:dyDescent="0.3">
      <c r="A5" s="336">
        <v>44693</v>
      </c>
      <c r="B5" t="s">
        <v>485</v>
      </c>
      <c r="D5" t="s">
        <v>484</v>
      </c>
    </row>
    <row r="6" spans="1:4" x14ac:dyDescent="0.3">
      <c r="A6" s="336">
        <v>44714</v>
      </c>
      <c r="B6" t="s">
        <v>487</v>
      </c>
      <c r="D6" t="s">
        <v>484</v>
      </c>
    </row>
    <row r="7" spans="1:4" ht="43.2" x14ac:dyDescent="0.3">
      <c r="A7" s="336">
        <v>44714</v>
      </c>
      <c r="B7" s="338" t="s">
        <v>488</v>
      </c>
      <c r="D7" t="s">
        <v>484</v>
      </c>
    </row>
    <row r="8" spans="1:4" x14ac:dyDescent="0.3">
      <c r="A8" s="336">
        <v>44722</v>
      </c>
      <c r="B8" t="s">
        <v>489</v>
      </c>
      <c r="C8" t="s">
        <v>490</v>
      </c>
      <c r="D8" t="s">
        <v>481</v>
      </c>
    </row>
    <row r="9" spans="1:4" x14ac:dyDescent="0.3">
      <c r="A9" s="336">
        <v>44726</v>
      </c>
      <c r="B9" t="s">
        <v>491</v>
      </c>
      <c r="D9" t="s">
        <v>481</v>
      </c>
    </row>
    <row r="10" spans="1:4" x14ac:dyDescent="0.3">
      <c r="A10" s="336">
        <v>44753</v>
      </c>
      <c r="B10" t="s">
        <v>492</v>
      </c>
      <c r="D10" t="s">
        <v>481</v>
      </c>
    </row>
    <row r="11" spans="1:4" x14ac:dyDescent="0.3">
      <c r="A11" s="336">
        <v>44781</v>
      </c>
      <c r="B11" t="s">
        <v>500</v>
      </c>
      <c r="C11" t="s">
        <v>501</v>
      </c>
      <c r="D11" t="s">
        <v>484</v>
      </c>
    </row>
    <row r="12" spans="1:4" x14ac:dyDescent="0.3">
      <c r="A12" s="336">
        <v>44785</v>
      </c>
      <c r="B12" t="s">
        <v>503</v>
      </c>
      <c r="D12" t="s">
        <v>481</v>
      </c>
    </row>
    <row r="13" spans="1:4" x14ac:dyDescent="0.3">
      <c r="A13" s="336">
        <v>44790</v>
      </c>
      <c r="B13" t="s">
        <v>504</v>
      </c>
      <c r="D13" t="s">
        <v>481</v>
      </c>
    </row>
    <row r="14" spans="1:4" x14ac:dyDescent="0.3">
      <c r="A14" s="336">
        <v>44809</v>
      </c>
      <c r="B14" t="s">
        <v>505</v>
      </c>
      <c r="D14" t="s">
        <v>484</v>
      </c>
    </row>
    <row r="15" spans="1:4" x14ac:dyDescent="0.3">
      <c r="A15" s="336">
        <v>44841</v>
      </c>
      <c r="B15" t="s">
        <v>506</v>
      </c>
      <c r="D15" t="s">
        <v>484</v>
      </c>
    </row>
    <row r="16" spans="1:4" x14ac:dyDescent="0.3">
      <c r="A16" s="336">
        <v>44848</v>
      </c>
      <c r="B16" t="s">
        <v>507</v>
      </c>
      <c r="D16" t="s">
        <v>481</v>
      </c>
    </row>
    <row r="17" spans="1:4" x14ac:dyDescent="0.3">
      <c r="A17" s="336">
        <v>44855</v>
      </c>
      <c r="B17" t="s">
        <v>518</v>
      </c>
      <c r="D17" t="s">
        <v>484</v>
      </c>
    </row>
    <row r="18" spans="1:4" x14ac:dyDescent="0.3">
      <c r="A18" s="336">
        <v>44866</v>
      </c>
      <c r="B18" t="s">
        <v>520</v>
      </c>
      <c r="D18" t="s">
        <v>484</v>
      </c>
    </row>
    <row r="19" spans="1:4" x14ac:dyDescent="0.3">
      <c r="A19" s="336">
        <v>44872</v>
      </c>
      <c r="B19" t="s">
        <v>563</v>
      </c>
      <c r="D19" t="s">
        <v>481</v>
      </c>
    </row>
    <row r="20" spans="1:4" x14ac:dyDescent="0.3">
      <c r="A20" s="336">
        <v>44874</v>
      </c>
      <c r="B20" t="s">
        <v>567</v>
      </c>
      <c r="D20" t="s">
        <v>484</v>
      </c>
    </row>
    <row r="21" spans="1:4" x14ac:dyDescent="0.3">
      <c r="A21" s="336">
        <v>44883</v>
      </c>
      <c r="B21" t="s">
        <v>568</v>
      </c>
      <c r="D21" t="s">
        <v>481</v>
      </c>
    </row>
    <row r="22" spans="1:4" x14ac:dyDescent="0.3">
      <c r="A22" s="336">
        <v>44883</v>
      </c>
      <c r="B22" t="s">
        <v>569</v>
      </c>
      <c r="C22" t="s">
        <v>570</v>
      </c>
      <c r="D22" t="s">
        <v>481</v>
      </c>
    </row>
    <row r="23" spans="1:4" x14ac:dyDescent="0.3">
      <c r="A23" s="336">
        <v>44893</v>
      </c>
      <c r="B23" t="s">
        <v>571</v>
      </c>
      <c r="C23" t="s">
        <v>572</v>
      </c>
      <c r="D23" t="s">
        <v>481</v>
      </c>
    </row>
    <row r="24" spans="1:4" x14ac:dyDescent="0.3">
      <c r="A24" s="336">
        <v>44900</v>
      </c>
      <c r="B24" t="s">
        <v>582</v>
      </c>
      <c r="D24" t="s">
        <v>481</v>
      </c>
    </row>
    <row r="25" spans="1:4" x14ac:dyDescent="0.3">
      <c r="A25" s="336">
        <v>44900</v>
      </c>
      <c r="B25" t="s">
        <v>583</v>
      </c>
      <c r="C25" t="s">
        <v>584</v>
      </c>
      <c r="D25" t="s">
        <v>481</v>
      </c>
    </row>
    <row r="26" spans="1:4" x14ac:dyDescent="0.3">
      <c r="A26" s="336">
        <v>44902</v>
      </c>
      <c r="B26" t="s">
        <v>585</v>
      </c>
      <c r="D26" t="s">
        <v>481</v>
      </c>
    </row>
    <row r="27" spans="1:4" x14ac:dyDescent="0.3">
      <c r="A27" s="336">
        <v>44911</v>
      </c>
      <c r="B27" t="s">
        <v>586</v>
      </c>
      <c r="D27" t="s">
        <v>481</v>
      </c>
    </row>
    <row r="28" spans="1:4" x14ac:dyDescent="0.3">
      <c r="A28" s="336">
        <v>44914</v>
      </c>
      <c r="B28" t="s">
        <v>587</v>
      </c>
      <c r="C28" t="s">
        <v>588</v>
      </c>
      <c r="D28" t="s">
        <v>481</v>
      </c>
    </row>
    <row r="29" spans="1:4" x14ac:dyDescent="0.3">
      <c r="A29" s="336">
        <v>44921</v>
      </c>
      <c r="B29" t="s">
        <v>589</v>
      </c>
      <c r="D29" t="s">
        <v>481</v>
      </c>
    </row>
    <row r="30" spans="1:4" x14ac:dyDescent="0.3">
      <c r="A30" s="336">
        <v>44944</v>
      </c>
      <c r="B30" t="s">
        <v>594</v>
      </c>
      <c r="D30" t="s">
        <v>484</v>
      </c>
    </row>
    <row r="31" spans="1:4" ht="28.8" x14ac:dyDescent="0.3">
      <c r="A31" s="336">
        <v>44953</v>
      </c>
      <c r="B31" s="338" t="s">
        <v>597</v>
      </c>
      <c r="D31" t="s">
        <v>481</v>
      </c>
    </row>
    <row r="32" spans="1:4" x14ac:dyDescent="0.3">
      <c r="A32" s="336">
        <v>44965</v>
      </c>
      <c r="B32" t="s">
        <v>599</v>
      </c>
      <c r="D32" t="s">
        <v>484</v>
      </c>
    </row>
    <row r="33" spans="1:4" x14ac:dyDescent="0.3">
      <c r="A33" s="336">
        <v>44979</v>
      </c>
      <c r="B33" t="s">
        <v>602</v>
      </c>
      <c r="D33" t="s">
        <v>481</v>
      </c>
    </row>
    <row r="34" spans="1:4" x14ac:dyDescent="0.3">
      <c r="A34" s="336">
        <v>44985</v>
      </c>
      <c r="B34" t="s">
        <v>603</v>
      </c>
      <c r="D34" t="s">
        <v>481</v>
      </c>
    </row>
    <row r="35" spans="1:4" x14ac:dyDescent="0.3">
      <c r="A35" s="336">
        <v>44992</v>
      </c>
      <c r="B35" t="s">
        <v>604</v>
      </c>
      <c r="C35" t="s">
        <v>605</v>
      </c>
      <c r="D35" t="s">
        <v>481</v>
      </c>
    </row>
    <row r="36" spans="1:4" x14ac:dyDescent="0.3">
      <c r="A36" s="336">
        <v>45000</v>
      </c>
      <c r="B36" t="s">
        <v>612</v>
      </c>
      <c r="D36" t="s">
        <v>484</v>
      </c>
    </row>
    <row r="37" spans="1:4" x14ac:dyDescent="0.3">
      <c r="A37" s="336">
        <v>45005</v>
      </c>
      <c r="B37" t="s">
        <v>620</v>
      </c>
      <c r="C37" t="s">
        <v>621</v>
      </c>
      <c r="D37" t="s">
        <v>481</v>
      </c>
    </row>
    <row r="38" spans="1:4" x14ac:dyDescent="0.3">
      <c r="A38" s="336">
        <v>45012</v>
      </c>
      <c r="B38" t="s">
        <v>622</v>
      </c>
      <c r="C38" t="s">
        <v>623</v>
      </c>
      <c r="D38" t="s">
        <v>481</v>
      </c>
    </row>
    <row r="39" spans="1:4" x14ac:dyDescent="0.3">
      <c r="A39" s="336">
        <v>45017</v>
      </c>
      <c r="B39" t="s">
        <v>624</v>
      </c>
      <c r="D39" t="s">
        <v>484</v>
      </c>
    </row>
    <row r="40" spans="1:4" x14ac:dyDescent="0.3">
      <c r="A40" s="336">
        <v>45023</v>
      </c>
      <c r="B40" t="s">
        <v>643</v>
      </c>
      <c r="D40" t="s">
        <v>484</v>
      </c>
    </row>
    <row r="41" spans="1:4" ht="230.4" x14ac:dyDescent="0.3">
      <c r="A41" s="336">
        <v>45027</v>
      </c>
      <c r="B41" t="s">
        <v>645</v>
      </c>
      <c r="C41" s="338" t="s">
        <v>646</v>
      </c>
      <c r="D41" t="s">
        <v>484</v>
      </c>
    </row>
    <row r="42" spans="1:4" x14ac:dyDescent="0.3">
      <c r="A42" s="336">
        <v>45027</v>
      </c>
      <c r="B42" t="s">
        <v>647</v>
      </c>
      <c r="D42" t="s">
        <v>484</v>
      </c>
    </row>
    <row r="43" spans="1:4" x14ac:dyDescent="0.3">
      <c r="A43" s="336">
        <v>45041</v>
      </c>
      <c r="B43" t="s">
        <v>649</v>
      </c>
      <c r="D43" t="s">
        <v>484</v>
      </c>
    </row>
    <row r="44" spans="1:4" x14ac:dyDescent="0.3">
      <c r="A44" s="336">
        <v>45043</v>
      </c>
      <c r="B44" t="s">
        <v>650</v>
      </c>
      <c r="D44" t="s">
        <v>484</v>
      </c>
    </row>
    <row r="45" spans="1:4" x14ac:dyDescent="0.3">
      <c r="A45" s="336">
        <v>45044</v>
      </c>
      <c r="B45" t="s">
        <v>651</v>
      </c>
      <c r="D45" t="s">
        <v>484</v>
      </c>
    </row>
    <row r="46" spans="1:4" x14ac:dyDescent="0.3">
      <c r="A46" s="336">
        <v>45051</v>
      </c>
      <c r="B46" t="s">
        <v>683</v>
      </c>
      <c r="C46" t="s">
        <v>684</v>
      </c>
      <c r="D46" t="s">
        <v>481</v>
      </c>
    </row>
    <row r="47" spans="1:4" x14ac:dyDescent="0.3">
      <c r="A47" s="336">
        <v>45057</v>
      </c>
      <c r="B47" t="s">
        <v>686</v>
      </c>
      <c r="C47" t="s">
        <v>687</v>
      </c>
      <c r="D47" t="s">
        <v>481</v>
      </c>
    </row>
    <row r="48" spans="1:4" x14ac:dyDescent="0.3">
      <c r="A48" s="336">
        <v>45061</v>
      </c>
      <c r="B48" t="s">
        <v>690</v>
      </c>
      <c r="D48" t="s">
        <v>481</v>
      </c>
    </row>
    <row r="49" spans="1:4" x14ac:dyDescent="0.3">
      <c r="A49" s="336">
        <v>45064</v>
      </c>
      <c r="B49" t="s">
        <v>695</v>
      </c>
      <c r="C49" t="s">
        <v>696</v>
      </c>
      <c r="D49" t="s">
        <v>481</v>
      </c>
    </row>
    <row r="50" spans="1:4" x14ac:dyDescent="0.3">
      <c r="A50" s="336">
        <v>45064</v>
      </c>
      <c r="B50" t="s">
        <v>697</v>
      </c>
      <c r="D50" t="s">
        <v>481</v>
      </c>
    </row>
    <row r="51" spans="1:4" x14ac:dyDescent="0.3">
      <c r="A51" s="336">
        <v>45064</v>
      </c>
      <c r="B51" t="s">
        <v>705</v>
      </c>
      <c r="D51" t="s">
        <v>481</v>
      </c>
    </row>
    <row r="52" spans="1:4" x14ac:dyDescent="0.3">
      <c r="A52" s="336">
        <v>45065</v>
      </c>
      <c r="B52" t="s">
        <v>706</v>
      </c>
      <c r="D52" t="s">
        <v>481</v>
      </c>
    </row>
    <row r="53" spans="1:4" x14ac:dyDescent="0.3">
      <c r="A53" s="336">
        <v>45065</v>
      </c>
      <c r="B53" t="s">
        <v>707</v>
      </c>
      <c r="D53" t="s">
        <v>481</v>
      </c>
    </row>
    <row r="54" spans="1:4" x14ac:dyDescent="0.3">
      <c r="A54" s="336">
        <v>45069</v>
      </c>
      <c r="B54" t="s">
        <v>708</v>
      </c>
      <c r="D54" t="s">
        <v>481</v>
      </c>
    </row>
    <row r="55" spans="1:4" x14ac:dyDescent="0.3">
      <c r="A55" s="336">
        <v>45070</v>
      </c>
      <c r="B55" t="s">
        <v>709</v>
      </c>
      <c r="D55" t="s">
        <v>481</v>
      </c>
    </row>
    <row r="56" spans="1:4" x14ac:dyDescent="0.3">
      <c r="A56" s="336">
        <v>45071</v>
      </c>
      <c r="B56" t="s">
        <v>710</v>
      </c>
      <c r="D56" t="s">
        <v>481</v>
      </c>
    </row>
    <row r="57" spans="1:4" x14ac:dyDescent="0.3">
      <c r="A57" s="336">
        <v>45075</v>
      </c>
      <c r="B57" t="s">
        <v>711</v>
      </c>
      <c r="D57" t="s">
        <v>481</v>
      </c>
    </row>
    <row r="58" spans="1:4" x14ac:dyDescent="0.3">
      <c r="A58" s="336">
        <v>45076</v>
      </c>
      <c r="B58" t="s">
        <v>712</v>
      </c>
      <c r="D58" t="s">
        <v>481</v>
      </c>
    </row>
    <row r="59" spans="1:4" x14ac:dyDescent="0.3">
      <c r="A59" s="336">
        <v>45077</v>
      </c>
      <c r="B59" t="s">
        <v>713</v>
      </c>
      <c r="D59" t="s">
        <v>481</v>
      </c>
    </row>
    <row r="60" spans="1:4" x14ac:dyDescent="0.3">
      <c r="A60" s="336">
        <v>45078</v>
      </c>
      <c r="B60" t="s">
        <v>714</v>
      </c>
      <c r="D60" t="s">
        <v>481</v>
      </c>
    </row>
    <row r="61" spans="1:4" x14ac:dyDescent="0.3">
      <c r="A61" s="336">
        <v>45078</v>
      </c>
      <c r="B61" t="s">
        <v>715</v>
      </c>
      <c r="C61" t="s">
        <v>716</v>
      </c>
      <c r="D61" t="s">
        <v>481</v>
      </c>
    </row>
    <row r="62" spans="1:4" x14ac:dyDescent="0.3">
      <c r="A62" s="336">
        <v>45083</v>
      </c>
      <c r="B62" t="s">
        <v>717</v>
      </c>
      <c r="D62" t="s">
        <v>481</v>
      </c>
    </row>
    <row r="63" spans="1:4" x14ac:dyDescent="0.3">
      <c r="A63" s="336">
        <v>45092</v>
      </c>
      <c r="B63" t="s">
        <v>726</v>
      </c>
      <c r="D63" t="s">
        <v>481</v>
      </c>
    </row>
    <row r="64" spans="1:4" x14ac:dyDescent="0.3">
      <c r="A64" s="336">
        <v>45100</v>
      </c>
      <c r="B64" t="s">
        <v>727</v>
      </c>
      <c r="C64" t="s">
        <v>728</v>
      </c>
      <c r="D64" t="s">
        <v>481</v>
      </c>
    </row>
    <row r="65" spans="1:4" x14ac:dyDescent="0.3">
      <c r="A65" s="336">
        <v>45121</v>
      </c>
      <c r="B65" t="s">
        <v>729</v>
      </c>
      <c r="D65" t="s">
        <v>484</v>
      </c>
    </row>
    <row r="66" spans="1:4" x14ac:dyDescent="0.3">
      <c r="A66" s="336">
        <v>45160</v>
      </c>
      <c r="B66" t="s">
        <v>731</v>
      </c>
      <c r="C66" t="s">
        <v>732</v>
      </c>
      <c r="D66" t="s">
        <v>484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DF646-3E7E-411E-96FB-678E1448FE4F}">
  <sheetPr codeName="Лист14">
    <tabColor theme="7" tint="0.59999389629810485"/>
    <pageSetUpPr fitToPage="1"/>
  </sheetPr>
  <dimension ref="A1:BE256"/>
  <sheetViews>
    <sheetView showGridLines="0" zoomScaleNormal="100" workbookViewId="0">
      <selection activeCell="C8" sqref="C8:F8"/>
    </sheetView>
  </sheetViews>
  <sheetFormatPr defaultColWidth="9.109375" defaultRowHeight="14.4" x14ac:dyDescent="0.3"/>
  <cols>
    <col min="1" max="10" width="7.6640625" style="5" customWidth="1"/>
    <col min="11" max="12" width="7.6640625" style="10" customWidth="1"/>
    <col min="13" max="13" width="7.6640625" style="5" customWidth="1"/>
    <col min="14" max="14" width="7.6640625" style="10" customWidth="1"/>
    <col min="15" max="21" width="7.6640625" style="5" customWidth="1"/>
    <col min="22" max="22" width="7.6640625" style="17" customWidth="1"/>
    <col min="23" max="26" width="7.6640625" style="5" customWidth="1"/>
    <col min="27" max="33" width="7.6640625" style="448" customWidth="1"/>
    <col min="34" max="35" width="13" style="5" hidden="1" customWidth="1"/>
    <col min="36" max="36" width="41" style="5" hidden="1" customWidth="1"/>
    <col min="37" max="37" width="15.5546875" style="5" hidden="1" customWidth="1"/>
    <col min="38" max="38" width="22.33203125" style="5" hidden="1" customWidth="1"/>
    <col min="39" max="39" width="16.44140625" style="5" hidden="1" customWidth="1"/>
    <col min="40" max="40" width="13.88671875" style="5" hidden="1" customWidth="1"/>
    <col min="41" max="42" width="9.109375" style="5" hidden="1" customWidth="1"/>
    <col min="43" max="43" width="10.33203125" style="5" hidden="1" customWidth="1"/>
    <col min="44" max="44" width="35.6640625" style="5" hidden="1" customWidth="1"/>
    <col min="45" max="45" width="29.88671875" style="5" customWidth="1"/>
    <col min="46" max="49" width="9.109375" style="5" hidden="1" customWidth="1"/>
    <col min="50" max="50" width="79.109375" style="5" hidden="1" customWidth="1"/>
    <col min="51" max="51" width="32.88671875" style="5" hidden="1" customWidth="1"/>
    <col min="52" max="56" width="9.109375" style="5" customWidth="1"/>
    <col min="57" max="57" width="9.109375" style="5" hidden="1" customWidth="1"/>
    <col min="58" max="90" width="9.109375" style="5" customWidth="1"/>
    <col min="91" max="16384" width="9.109375" style="5"/>
  </cols>
  <sheetData>
    <row r="1" spans="1:57" ht="15.9" customHeight="1" thickBot="1" x14ac:dyDescent="0.35">
      <c r="A1" s="403"/>
      <c r="B1" s="404"/>
      <c r="C1" s="405"/>
      <c r="D1" s="406"/>
      <c r="E1" s="485" t="s">
        <v>681</v>
      </c>
      <c r="F1" s="485"/>
      <c r="G1" s="485"/>
      <c r="H1" s="485"/>
      <c r="I1" s="485"/>
      <c r="J1" s="485"/>
      <c r="K1" s="485"/>
      <c r="L1" s="407"/>
      <c r="M1" s="488" t="s">
        <v>677</v>
      </c>
      <c r="N1" s="488"/>
      <c r="O1" s="488"/>
      <c r="P1" s="488"/>
      <c r="Q1" s="404"/>
      <c r="R1" s="408"/>
      <c r="S1" s="404"/>
      <c r="T1" s="408"/>
      <c r="U1" s="409" t="s">
        <v>578</v>
      </c>
      <c r="V1" s="475" t="s">
        <v>678</v>
      </c>
      <c r="W1" s="410" t="s">
        <v>679</v>
      </c>
      <c r="X1" s="411">
        <v>1</v>
      </c>
      <c r="Y1" s="408"/>
      <c r="Z1" s="412"/>
      <c r="AJ1" s="5" t="s">
        <v>42</v>
      </c>
      <c r="AK1" s="5" t="s">
        <v>44</v>
      </c>
      <c r="AL1" s="5" t="s">
        <v>89</v>
      </c>
      <c r="AM1" s="5" t="s">
        <v>9</v>
      </c>
      <c r="AN1" s="5" t="str">
        <f>IF(M8="",".",VLOOKUP(M8,$AL$1:$AM$21,2,FALSE))</f>
        <v>.</v>
      </c>
      <c r="AO1" s="5" t="s">
        <v>9</v>
      </c>
      <c r="AP1" s="5" t="s">
        <v>5</v>
      </c>
      <c r="AQ1" s="6"/>
      <c r="AT1" s="5" t="s">
        <v>40</v>
      </c>
      <c r="AX1" s="5" t="s">
        <v>165</v>
      </c>
      <c r="AY1" s="52" t="s">
        <v>90</v>
      </c>
      <c r="BE1" s="5" t="s">
        <v>283</v>
      </c>
    </row>
    <row r="2" spans="1:57" ht="15.9" customHeight="1" x14ac:dyDescent="0.3">
      <c r="A2" s="413"/>
      <c r="B2" s="432"/>
      <c r="C2" s="414"/>
      <c r="D2" s="415"/>
      <c r="E2" s="486"/>
      <c r="F2" s="486"/>
      <c r="G2" s="486"/>
      <c r="H2" s="486"/>
      <c r="I2" s="486"/>
      <c r="J2" s="486"/>
      <c r="K2" s="486"/>
      <c r="L2" s="433"/>
      <c r="M2" s="489"/>
      <c r="N2" s="489"/>
      <c r="O2" s="489"/>
      <c r="P2" s="489"/>
      <c r="Q2" s="432"/>
      <c r="R2" s="434"/>
      <c r="S2" s="434"/>
      <c r="T2" s="435" t="s">
        <v>12</v>
      </c>
      <c r="U2" s="434"/>
      <c r="V2" s="476"/>
      <c r="W2" s="477">
        <f>MAX(Изменения[Дата])</f>
        <v>45160</v>
      </c>
      <c r="X2" s="477"/>
      <c r="Y2" s="477"/>
      <c r="Z2" s="416" t="str">
        <f>"Вер. "&amp;COUNTIF(Изменения[Дата],$W$2)&amp;IF($Z$1, "."&amp;$Z$1, "")</f>
        <v>Вер. 1</v>
      </c>
      <c r="AH2" s="5" t="s">
        <v>449</v>
      </c>
      <c r="AK2" s="5" t="s">
        <v>44</v>
      </c>
      <c r="AL2" s="5" t="s">
        <v>165</v>
      </c>
      <c r="AM2" s="52" t="s">
        <v>90</v>
      </c>
      <c r="AN2" s="5" t="e">
        <f>IF(#REF!="",".",VLOOKUP(#REF!,$AL$1:$AM$21,2,FALSE))</f>
        <v>#REF!</v>
      </c>
      <c r="AO2" s="5">
        <v>1</v>
      </c>
      <c r="AP2" s="5" t="e">
        <f t="shared" ref="AP2:AP11" si="0">CONCATENATE("ST.",AK4,".EDGE MAX.",AN1)</f>
        <v>#N/A</v>
      </c>
      <c r="AT2" s="5" t="s">
        <v>41</v>
      </c>
      <c r="AX2" s="5" t="s">
        <v>166</v>
      </c>
      <c r="AY2" s="52" t="s">
        <v>91</v>
      </c>
      <c r="BE2" s="5" t="s">
        <v>195</v>
      </c>
    </row>
    <row r="3" spans="1:57" ht="15.9" customHeight="1" x14ac:dyDescent="0.3">
      <c r="A3" s="413"/>
      <c r="B3" s="432"/>
      <c r="C3" s="414"/>
      <c r="D3" s="415"/>
      <c r="E3" s="486"/>
      <c r="F3" s="486"/>
      <c r="G3" s="486"/>
      <c r="H3" s="486"/>
      <c r="I3" s="486"/>
      <c r="J3" s="486"/>
      <c r="K3" s="486"/>
      <c r="L3" s="433"/>
      <c r="M3" s="478"/>
      <c r="N3" s="479"/>
      <c r="O3" s="479"/>
      <c r="P3" s="480"/>
      <c r="Q3" s="432"/>
      <c r="R3" s="434"/>
      <c r="S3" s="432"/>
      <c r="T3" s="436" t="s">
        <v>10</v>
      </c>
      <c r="U3" s="437"/>
      <c r="V3" s="437"/>
      <c r="W3" s="437"/>
      <c r="X3" s="437"/>
      <c r="Y3" s="438" t="str">
        <f>"_______________ от_______________"&amp;YEAR($W$2)&amp;"г."</f>
        <v>_______________ от_______________2023г.</v>
      </c>
      <c r="Z3" s="417"/>
      <c r="AH3" s="5" t="s">
        <v>347</v>
      </c>
      <c r="AK3" s="5" t="s">
        <v>311</v>
      </c>
      <c r="AL3" s="5" t="s">
        <v>166</v>
      </c>
      <c r="AM3" s="52" t="s">
        <v>91</v>
      </c>
      <c r="AN3" s="5" t="e">
        <f>IF(#REF!="",".",VLOOKUP(#REF!,$AL$1:$AM$21,2,FALSE))</f>
        <v>#REF!</v>
      </c>
      <c r="AO3" s="5">
        <v>2</v>
      </c>
      <c r="AP3" s="5" t="e">
        <f t="shared" si="0"/>
        <v>#N/A</v>
      </c>
      <c r="AT3" s="5" t="s">
        <v>42</v>
      </c>
      <c r="AX3" s="5" t="s">
        <v>167</v>
      </c>
      <c r="AY3" s="52" t="s">
        <v>92</v>
      </c>
    </row>
    <row r="4" spans="1:57" ht="15.9" customHeight="1" thickBot="1" x14ac:dyDescent="0.35">
      <c r="A4" s="418"/>
      <c r="B4" s="419"/>
      <c r="C4" s="420"/>
      <c r="D4" s="421"/>
      <c r="E4" s="487"/>
      <c r="F4" s="487"/>
      <c r="G4" s="487"/>
      <c r="H4" s="487"/>
      <c r="I4" s="487"/>
      <c r="J4" s="487"/>
      <c r="K4" s="487"/>
      <c r="L4" s="422"/>
      <c r="M4" s="481"/>
      <c r="N4" s="482"/>
      <c r="O4" s="482"/>
      <c r="P4" s="483"/>
      <c r="Q4" s="419"/>
      <c r="R4" s="423"/>
      <c r="S4" s="423"/>
      <c r="T4" s="424" t="s">
        <v>680</v>
      </c>
      <c r="U4" s="425"/>
      <c r="V4" s="425"/>
      <c r="W4" s="425"/>
      <c r="X4" s="425"/>
      <c r="Y4" s="426" t="str">
        <f>"_______________ от_______________"&amp;YEAR($W$2)&amp;"г."</f>
        <v>_______________ от_______________2023г.</v>
      </c>
      <c r="Z4" s="427"/>
      <c r="AI4" s="5">
        <v>1</v>
      </c>
      <c r="AJ4" s="5" t="s">
        <v>40</v>
      </c>
      <c r="AK4" s="5" t="e">
        <f>VLOOKUP(C8,$AJ$1:$AK$3,2,FALSE)</f>
        <v>#N/A</v>
      </c>
      <c r="AL4" s="5" t="s">
        <v>167</v>
      </c>
      <c r="AM4" s="52" t="s">
        <v>92</v>
      </c>
      <c r="AN4" s="5" t="e">
        <f>IF(#REF!="",".",VLOOKUP(#REF!,$AL$1:$AM$21,2,FALSE))</f>
        <v>#REF!</v>
      </c>
      <c r="AO4" s="5">
        <v>3</v>
      </c>
      <c r="AP4" s="5" t="e">
        <f t="shared" si="0"/>
        <v>#N/A</v>
      </c>
      <c r="AX4" s="5" t="s">
        <v>168</v>
      </c>
      <c r="AY4" s="52" t="s">
        <v>93</v>
      </c>
    </row>
    <row r="5" spans="1:57" ht="15.9" customHeight="1" x14ac:dyDescent="0.3">
      <c r="A5" s="32"/>
      <c r="R5" s="24"/>
      <c r="S5" s="24"/>
      <c r="V5" s="5"/>
      <c r="Z5" s="31"/>
      <c r="AI5" s="5">
        <v>2</v>
      </c>
      <c r="AJ5" s="5" t="s">
        <v>40</v>
      </c>
      <c r="AK5" s="5" t="e">
        <f>VLOOKUP(C11,$AJ$1:$AK$3,2,FALSE)</f>
        <v>#N/A</v>
      </c>
      <c r="AL5" s="5" t="s">
        <v>168</v>
      </c>
      <c r="AM5" s="52" t="s">
        <v>93</v>
      </c>
      <c r="AN5" s="5" t="e">
        <f>IF(#REF!="", ".",VLOOKUP(#REF!,$AL$1:$AM$21,2,FALSE))</f>
        <v>#REF!</v>
      </c>
      <c r="AO5" s="5">
        <v>4</v>
      </c>
      <c r="AP5" s="5" t="e">
        <f t="shared" si="0"/>
        <v>#N/A</v>
      </c>
      <c r="AX5" s="5" t="s">
        <v>169</v>
      </c>
      <c r="AY5" s="52" t="s">
        <v>74</v>
      </c>
    </row>
    <row r="6" spans="1:57" ht="15.9" customHeight="1" x14ac:dyDescent="0.3">
      <c r="A6" s="32"/>
      <c r="K6" s="5"/>
      <c r="L6" s="5"/>
      <c r="M6" s="10"/>
      <c r="O6" s="10"/>
      <c r="P6" s="10"/>
      <c r="R6" s="24"/>
      <c r="S6" s="24"/>
      <c r="V6" s="5"/>
      <c r="Z6" s="31"/>
      <c r="AI6" s="5">
        <v>3</v>
      </c>
      <c r="AJ6" s="5" t="s">
        <v>40</v>
      </c>
      <c r="AK6" s="5" t="e">
        <f>VLOOKUP(C14,$AJ$1:$AK$3,2,FALSE)</f>
        <v>#N/A</v>
      </c>
      <c r="AL6" s="5" t="s">
        <v>169</v>
      </c>
      <c r="AM6" s="52" t="s">
        <v>74</v>
      </c>
      <c r="AN6" s="5" t="e">
        <f>IF(#REF!="",".",VLOOKUP(#REF!,$AL$1:$AM$21,2,FALSE))</f>
        <v>#REF!</v>
      </c>
      <c r="AO6" s="5">
        <v>5</v>
      </c>
      <c r="AP6" s="5" t="e">
        <f t="shared" si="0"/>
        <v>#N/A</v>
      </c>
      <c r="AX6" s="5" t="s">
        <v>170</v>
      </c>
      <c r="AY6" s="52" t="s">
        <v>75</v>
      </c>
    </row>
    <row r="7" spans="1:57" ht="15.9" customHeight="1" x14ac:dyDescent="0.3">
      <c r="A7" s="32"/>
      <c r="B7" s="545">
        <v>1</v>
      </c>
      <c r="C7" s="490" t="s">
        <v>214</v>
      </c>
      <c r="D7" s="490"/>
      <c r="E7" s="490"/>
      <c r="F7" s="490"/>
      <c r="G7" s="490" t="s">
        <v>4</v>
      </c>
      <c r="H7" s="490"/>
      <c r="I7" s="490" t="s">
        <v>1</v>
      </c>
      <c r="J7" s="490"/>
      <c r="K7" s="490" t="s">
        <v>208</v>
      </c>
      <c r="L7" s="490"/>
      <c r="M7" s="490" t="s">
        <v>209</v>
      </c>
      <c r="N7" s="490"/>
      <c r="O7" s="490"/>
      <c r="P7" s="490"/>
      <c r="Q7" s="490" t="s">
        <v>387</v>
      </c>
      <c r="R7" s="490"/>
      <c r="S7" s="490"/>
      <c r="T7" s="490" t="s">
        <v>213</v>
      </c>
      <c r="U7" s="490"/>
      <c r="V7" s="490"/>
      <c r="W7" s="142" t="s">
        <v>8</v>
      </c>
      <c r="X7" s="494" t="s">
        <v>7</v>
      </c>
      <c r="Y7" s="494"/>
      <c r="Z7" s="495"/>
      <c r="AA7" s="303" t="s">
        <v>662</v>
      </c>
      <c r="AB7" s="448" t="s">
        <v>4</v>
      </c>
      <c r="AI7" s="5">
        <v>4</v>
      </c>
      <c r="AJ7" s="5" t="s">
        <v>40</v>
      </c>
      <c r="AK7" s="5" t="e">
        <f>VLOOKUP(C17,$AJ$1:$AK$3,2,FALSE)</f>
        <v>#N/A</v>
      </c>
      <c r="AL7" s="5" t="s">
        <v>170</v>
      </c>
      <c r="AM7" s="52" t="s">
        <v>75</v>
      </c>
      <c r="AN7" s="5" t="e">
        <f>IF(#REF!="",".",VLOOKUP(#REF!,$AL$1:$AM$21,2,FALSE))</f>
        <v>#REF!</v>
      </c>
      <c r="AO7" s="5">
        <v>6</v>
      </c>
      <c r="AP7" s="5" t="e">
        <f t="shared" si="0"/>
        <v>#N/A</v>
      </c>
      <c r="AX7" s="5" t="s">
        <v>171</v>
      </c>
      <c r="AY7" s="52" t="s">
        <v>100</v>
      </c>
    </row>
    <row r="8" spans="1:57" ht="15.9" customHeight="1" x14ac:dyDescent="0.3">
      <c r="A8" s="32"/>
      <c r="B8" s="546"/>
      <c r="C8" s="493"/>
      <c r="D8" s="493"/>
      <c r="E8" s="493"/>
      <c r="F8" s="493"/>
      <c r="G8" s="492"/>
      <c r="H8" s="492"/>
      <c r="I8" s="492"/>
      <c r="J8" s="492"/>
      <c r="K8" s="493"/>
      <c r="L8" s="493"/>
      <c r="M8" s="493"/>
      <c r="N8" s="493"/>
      <c r="O8" s="493"/>
      <c r="P8" s="493"/>
      <c r="Q8" s="491"/>
      <c r="R8" s="491"/>
      <c r="S8" s="491"/>
      <c r="T8" s="491"/>
      <c r="U8" s="491"/>
      <c r="V8" s="491"/>
      <c r="W8" s="275"/>
      <c r="X8" s="496">
        <f>IFERROR(INDEX('Расчет фасадов MAX'!$V$3:$V$12, B7)*$X$1,0)</f>
        <v>0</v>
      </c>
      <c r="Y8" s="496"/>
      <c r="Z8" s="497"/>
      <c r="AA8" s="303" t="e">
        <f>MATCH(C8, ФурнитураMAXЦвета[ЦветГруппа], 0)</f>
        <v>#N/A</v>
      </c>
      <c r="AB8" s="448">
        <f>COUNTIF(ФурнитураMAXЦвета[ЦветГруппа], C8)</f>
        <v>0</v>
      </c>
      <c r="AI8" s="5">
        <v>5</v>
      </c>
      <c r="AJ8" s="5" t="s">
        <v>40</v>
      </c>
      <c r="AK8" s="5" t="e">
        <f>VLOOKUP(C20,$AJ$1:$AK$3,2,FALSE)</f>
        <v>#N/A</v>
      </c>
      <c r="AL8" s="5" t="s">
        <v>171</v>
      </c>
      <c r="AM8" s="52" t="s">
        <v>100</v>
      </c>
      <c r="AN8" s="5" t="e">
        <f>IF(#REF!="",".",VLOOKUP(#REF!,$AL$1:$AM$21,2,FALSE))</f>
        <v>#REF!</v>
      </c>
      <c r="AO8" s="5">
        <v>7</v>
      </c>
      <c r="AP8" s="5" t="e">
        <f t="shared" si="0"/>
        <v>#N/A</v>
      </c>
      <c r="AX8" s="5" t="s">
        <v>179</v>
      </c>
      <c r="AY8" s="5" t="s">
        <v>148</v>
      </c>
    </row>
    <row r="9" spans="1:57" ht="15.9" customHeight="1" x14ac:dyDescent="0.3">
      <c r="A9" s="32"/>
      <c r="B9" s="14"/>
      <c r="C9" s="20"/>
      <c r="H9" s="20"/>
      <c r="M9" s="18"/>
      <c r="N9" s="303"/>
      <c r="O9" s="18"/>
      <c r="R9" s="439"/>
      <c r="S9" s="439"/>
      <c r="V9" s="5"/>
      <c r="Z9" s="31"/>
      <c r="AA9" s="303"/>
      <c r="AI9" s="5">
        <v>6</v>
      </c>
      <c r="AJ9" s="5" t="s">
        <v>40</v>
      </c>
      <c r="AK9" s="5" t="e">
        <f>VLOOKUP(C23,$AJ$1:$AK$3,2,FALSE)</f>
        <v>#N/A</v>
      </c>
      <c r="AL9" s="5" t="s">
        <v>179</v>
      </c>
      <c r="AM9" s="5" t="s">
        <v>148</v>
      </c>
      <c r="AN9" s="5" t="e">
        <f>IF(#REF!="",".",VLOOKUP(#REF!,$AL$1:$AM$21,2,FALSE))</f>
        <v>#REF!</v>
      </c>
      <c r="AO9" s="5">
        <v>8</v>
      </c>
      <c r="AP9" s="5" t="e">
        <f t="shared" si="0"/>
        <v>#N/A</v>
      </c>
      <c r="AX9" s="5" t="s">
        <v>172</v>
      </c>
      <c r="AY9" s="52" t="s">
        <v>80</v>
      </c>
    </row>
    <row r="10" spans="1:57" ht="15.9" customHeight="1" x14ac:dyDescent="0.3">
      <c r="A10" s="32"/>
      <c r="B10" s="545">
        <v>2</v>
      </c>
      <c r="C10" s="490" t="s">
        <v>214</v>
      </c>
      <c r="D10" s="490"/>
      <c r="E10" s="490"/>
      <c r="F10" s="490"/>
      <c r="G10" s="490" t="s">
        <v>4</v>
      </c>
      <c r="H10" s="490"/>
      <c r="I10" s="490" t="s">
        <v>1</v>
      </c>
      <c r="J10" s="490"/>
      <c r="K10" s="490" t="s">
        <v>208</v>
      </c>
      <c r="L10" s="490"/>
      <c r="M10" s="490" t="s">
        <v>209</v>
      </c>
      <c r="N10" s="490"/>
      <c r="O10" s="490"/>
      <c r="P10" s="490"/>
      <c r="Q10" s="490" t="s">
        <v>387</v>
      </c>
      <c r="R10" s="490"/>
      <c r="S10" s="490"/>
      <c r="T10" s="490" t="s">
        <v>213</v>
      </c>
      <c r="U10" s="490"/>
      <c r="V10" s="490"/>
      <c r="W10" s="142" t="s">
        <v>8</v>
      </c>
      <c r="X10" s="494" t="s">
        <v>7</v>
      </c>
      <c r="Y10" s="494"/>
      <c r="Z10" s="495"/>
      <c r="AA10" s="303"/>
      <c r="AI10" s="5">
        <v>7</v>
      </c>
      <c r="AJ10" s="5" t="s">
        <v>40</v>
      </c>
      <c r="AK10" s="5" t="e">
        <f>VLOOKUP(C26,$AJ$1:$AK$3,2,FALSE)</f>
        <v>#N/A</v>
      </c>
      <c r="AL10" s="5" t="s">
        <v>172</v>
      </c>
      <c r="AM10" s="52" t="s">
        <v>80</v>
      </c>
      <c r="AN10" s="5" t="e">
        <f>IF(#REF!="",".",VLOOKUP(#REF!,$AL$1:$AM$21,2,FALSE))</f>
        <v>#REF!</v>
      </c>
      <c r="AO10" s="5">
        <v>9</v>
      </c>
      <c r="AP10" s="5" t="e">
        <f t="shared" si="0"/>
        <v>#N/A</v>
      </c>
      <c r="AX10" s="5" t="s">
        <v>173</v>
      </c>
      <c r="AY10" s="52" t="s">
        <v>81</v>
      </c>
    </row>
    <row r="11" spans="1:57" ht="15.9" customHeight="1" x14ac:dyDescent="0.3">
      <c r="A11" s="32"/>
      <c r="B11" s="546"/>
      <c r="C11" s="493"/>
      <c r="D11" s="493"/>
      <c r="E11" s="493"/>
      <c r="F11" s="493"/>
      <c r="G11" s="492"/>
      <c r="H11" s="492"/>
      <c r="I11" s="492"/>
      <c r="J11" s="492"/>
      <c r="K11" s="493"/>
      <c r="L11" s="493"/>
      <c r="M11" s="493"/>
      <c r="N11" s="493"/>
      <c r="O11" s="493"/>
      <c r="P11" s="493"/>
      <c r="Q11" s="491"/>
      <c r="R11" s="491"/>
      <c r="S11" s="491"/>
      <c r="T11" s="491"/>
      <c r="U11" s="491"/>
      <c r="V11" s="491"/>
      <c r="W11" s="275"/>
      <c r="X11" s="496">
        <f>IFERROR(INDEX('Расчет фасадов MAX'!$V$3:$V$12, B10)*$X$1,0)</f>
        <v>0</v>
      </c>
      <c r="Y11" s="496"/>
      <c r="Z11" s="497"/>
      <c r="AA11" s="303" t="e">
        <f>MATCH(C11, ФурнитураMAXЦвета[ЦветГруппа], 0)</f>
        <v>#N/A</v>
      </c>
      <c r="AB11" s="448">
        <f>COUNTIF(ФурнитураMAXЦвета[ЦветГруппа], C11)</f>
        <v>0</v>
      </c>
      <c r="AI11" s="5">
        <v>8</v>
      </c>
      <c r="AJ11" s="5" t="s">
        <v>40</v>
      </c>
      <c r="AK11" s="5" t="e">
        <f>VLOOKUP(C29,$AJ$1:$AK$3,2,FALSE)</f>
        <v>#N/A</v>
      </c>
      <c r="AL11" s="5" t="s">
        <v>173</v>
      </c>
      <c r="AM11" s="52" t="s">
        <v>81</v>
      </c>
      <c r="AO11" s="5">
        <v>10</v>
      </c>
      <c r="AP11" s="5" t="e">
        <f t="shared" si="0"/>
        <v>#N/A</v>
      </c>
      <c r="AX11" s="5" t="s">
        <v>159</v>
      </c>
      <c r="AY11" s="52" t="s">
        <v>82</v>
      </c>
    </row>
    <row r="12" spans="1:57" ht="15.9" customHeight="1" x14ac:dyDescent="0.3">
      <c r="A12" s="32"/>
      <c r="C12" s="20"/>
      <c r="K12" s="5"/>
      <c r="L12" s="5"/>
      <c r="N12" s="5"/>
      <c r="V12" s="5"/>
      <c r="X12" s="10"/>
      <c r="Y12" s="10"/>
      <c r="Z12" s="440"/>
      <c r="AA12" s="303"/>
      <c r="AI12" s="5">
        <v>9</v>
      </c>
      <c r="AJ12" s="5" t="s">
        <v>40</v>
      </c>
      <c r="AK12" s="5" t="e">
        <f>VLOOKUP(C32,$AJ$1:$AK$3,2,FALSE)</f>
        <v>#N/A</v>
      </c>
      <c r="AL12" s="5" t="s">
        <v>302</v>
      </c>
      <c r="AM12" s="5" t="s">
        <v>303</v>
      </c>
      <c r="AX12" s="5" t="s">
        <v>160</v>
      </c>
      <c r="AY12" s="52" t="s">
        <v>83</v>
      </c>
    </row>
    <row r="13" spans="1:57" ht="15.9" customHeight="1" x14ac:dyDescent="0.3">
      <c r="A13" s="32"/>
      <c r="B13" s="545">
        <v>3</v>
      </c>
      <c r="C13" s="490" t="s">
        <v>214</v>
      </c>
      <c r="D13" s="490"/>
      <c r="E13" s="490"/>
      <c r="F13" s="490"/>
      <c r="G13" s="490" t="s">
        <v>4</v>
      </c>
      <c r="H13" s="490"/>
      <c r="I13" s="490" t="s">
        <v>1</v>
      </c>
      <c r="J13" s="490"/>
      <c r="K13" s="490" t="s">
        <v>208</v>
      </c>
      <c r="L13" s="490"/>
      <c r="M13" s="490" t="s">
        <v>209</v>
      </c>
      <c r="N13" s="490"/>
      <c r="O13" s="490"/>
      <c r="P13" s="490"/>
      <c r="Q13" s="490" t="s">
        <v>387</v>
      </c>
      <c r="R13" s="490"/>
      <c r="S13" s="490"/>
      <c r="T13" s="490" t="s">
        <v>213</v>
      </c>
      <c r="U13" s="490"/>
      <c r="V13" s="490"/>
      <c r="W13" s="142" t="s">
        <v>8</v>
      </c>
      <c r="X13" s="494" t="s">
        <v>7</v>
      </c>
      <c r="Y13" s="494"/>
      <c r="Z13" s="495"/>
      <c r="AA13" s="303"/>
      <c r="AI13" s="5">
        <v>10</v>
      </c>
      <c r="AJ13" s="5" t="s">
        <v>40</v>
      </c>
      <c r="AK13" s="5" t="e">
        <f>VLOOKUP(C35,$AJ$1:$AK$3,2,FALSE)</f>
        <v>#N/A</v>
      </c>
      <c r="AL13" s="5" t="s">
        <v>160</v>
      </c>
      <c r="AM13" s="52" t="s">
        <v>83</v>
      </c>
      <c r="AX13" s="5" t="s">
        <v>161</v>
      </c>
      <c r="AY13" s="52" t="s">
        <v>84</v>
      </c>
    </row>
    <row r="14" spans="1:57" ht="15.9" customHeight="1" x14ac:dyDescent="0.3">
      <c r="A14" s="32"/>
      <c r="B14" s="546"/>
      <c r="C14" s="493"/>
      <c r="D14" s="493"/>
      <c r="E14" s="493"/>
      <c r="F14" s="493"/>
      <c r="G14" s="492"/>
      <c r="H14" s="492"/>
      <c r="I14" s="492"/>
      <c r="J14" s="492"/>
      <c r="K14" s="493"/>
      <c r="L14" s="493"/>
      <c r="M14" s="493"/>
      <c r="N14" s="493"/>
      <c r="O14" s="493"/>
      <c r="P14" s="493"/>
      <c r="Q14" s="491"/>
      <c r="R14" s="491"/>
      <c r="S14" s="491"/>
      <c r="T14" s="491"/>
      <c r="U14" s="491"/>
      <c r="V14" s="491"/>
      <c r="W14" s="275"/>
      <c r="X14" s="496">
        <f>IFERROR(INDEX('Расчет фасадов MAX'!$V$3:$V$12, B13)*$X$1,0)</f>
        <v>0</v>
      </c>
      <c r="Y14" s="496"/>
      <c r="Z14" s="497"/>
      <c r="AA14" s="303" t="e">
        <f>MATCH(C14, ФурнитураMAXЦвета[ЦветГруппа], 0)</f>
        <v>#N/A</v>
      </c>
      <c r="AB14" s="448">
        <f>COUNTIF(ФурнитураMAXЦвета[ЦветГруппа], C14)</f>
        <v>0</v>
      </c>
      <c r="AJ14" s="15"/>
      <c r="AL14" s="5" t="s">
        <v>161</v>
      </c>
      <c r="AM14" s="52" t="s">
        <v>84</v>
      </c>
      <c r="AX14" s="5" t="s">
        <v>164</v>
      </c>
      <c r="AY14" s="5" t="s">
        <v>99</v>
      </c>
    </row>
    <row r="15" spans="1:57" ht="15.9" customHeight="1" x14ac:dyDescent="0.3">
      <c r="A15" s="32"/>
      <c r="K15" s="5"/>
      <c r="L15" s="5"/>
      <c r="N15" s="5"/>
      <c r="V15" s="5"/>
      <c r="Z15" s="31"/>
      <c r="AA15" s="303"/>
      <c r="AL15" s="5" t="s">
        <v>164</v>
      </c>
      <c r="AM15" s="5" t="s">
        <v>99</v>
      </c>
      <c r="AX15" s="5" t="s">
        <v>174</v>
      </c>
      <c r="AY15" s="52" t="s">
        <v>85</v>
      </c>
    </row>
    <row r="16" spans="1:57" ht="15.9" customHeight="1" x14ac:dyDescent="0.3">
      <c r="A16" s="32"/>
      <c r="B16" s="545">
        <v>4</v>
      </c>
      <c r="C16" s="490" t="s">
        <v>214</v>
      </c>
      <c r="D16" s="490"/>
      <c r="E16" s="490"/>
      <c r="F16" s="490"/>
      <c r="G16" s="490" t="s">
        <v>4</v>
      </c>
      <c r="H16" s="490"/>
      <c r="I16" s="490" t="s">
        <v>1</v>
      </c>
      <c r="J16" s="490"/>
      <c r="K16" s="490" t="s">
        <v>208</v>
      </c>
      <c r="L16" s="490"/>
      <c r="M16" s="490" t="s">
        <v>209</v>
      </c>
      <c r="N16" s="490"/>
      <c r="O16" s="490"/>
      <c r="P16" s="490"/>
      <c r="Q16" s="490" t="s">
        <v>387</v>
      </c>
      <c r="R16" s="490"/>
      <c r="S16" s="490"/>
      <c r="T16" s="490" t="s">
        <v>213</v>
      </c>
      <c r="U16" s="490"/>
      <c r="V16" s="490"/>
      <c r="W16" s="142" t="s">
        <v>8</v>
      </c>
      <c r="X16" s="494" t="s">
        <v>7</v>
      </c>
      <c r="Y16" s="494"/>
      <c r="Z16" s="495"/>
      <c r="AA16" s="303"/>
      <c r="AL16" s="5" t="s">
        <v>174</v>
      </c>
      <c r="AM16" s="52" t="s">
        <v>85</v>
      </c>
      <c r="AX16" s="5" t="s">
        <v>163</v>
      </c>
      <c r="AY16" s="52" t="s">
        <v>86</v>
      </c>
    </row>
    <row r="17" spans="1:51" ht="15.9" customHeight="1" x14ac:dyDescent="0.3">
      <c r="A17" s="32"/>
      <c r="B17" s="546"/>
      <c r="C17" s="493"/>
      <c r="D17" s="493"/>
      <c r="E17" s="493"/>
      <c r="F17" s="493"/>
      <c r="G17" s="492"/>
      <c r="H17" s="492"/>
      <c r="I17" s="492"/>
      <c r="J17" s="492"/>
      <c r="K17" s="493"/>
      <c r="L17" s="493"/>
      <c r="M17" s="493"/>
      <c r="N17" s="493"/>
      <c r="O17" s="493"/>
      <c r="P17" s="493"/>
      <c r="Q17" s="491"/>
      <c r="R17" s="491"/>
      <c r="S17" s="491"/>
      <c r="T17" s="491"/>
      <c r="U17" s="491"/>
      <c r="V17" s="491"/>
      <c r="W17" s="275"/>
      <c r="X17" s="496">
        <f>IFERROR(INDEX('Расчет фасадов MAX'!$V$3:$V$12, B16)*$X$1,0)</f>
        <v>0</v>
      </c>
      <c r="Y17" s="496"/>
      <c r="Z17" s="497"/>
      <c r="AA17" s="303" t="e">
        <f>MATCH(C17, ФурнитураMAXЦвета[ЦветГруппа], 0)</f>
        <v>#N/A</v>
      </c>
      <c r="AB17" s="448">
        <f>COUNTIF(ФурнитураMAXЦвета[ЦветГруппа], C17)</f>
        <v>0</v>
      </c>
      <c r="AL17" s="5" t="s">
        <v>163</v>
      </c>
      <c r="AM17" s="52" t="s">
        <v>86</v>
      </c>
      <c r="AX17" s="5" t="s">
        <v>175</v>
      </c>
      <c r="AY17" s="52" t="s">
        <v>77</v>
      </c>
    </row>
    <row r="18" spans="1:51" ht="15.9" customHeight="1" x14ac:dyDescent="0.3">
      <c r="A18" s="32"/>
      <c r="K18" s="5"/>
      <c r="L18" s="5"/>
      <c r="N18" s="5"/>
      <c r="V18" s="5"/>
      <c r="Z18" s="31"/>
      <c r="AA18" s="303"/>
      <c r="AL18" s="5" t="s">
        <v>175</v>
      </c>
      <c r="AM18" s="52" t="s">
        <v>77</v>
      </c>
      <c r="AX18" s="5" t="s">
        <v>176</v>
      </c>
      <c r="AY18" s="52" t="s">
        <v>76</v>
      </c>
    </row>
    <row r="19" spans="1:51" ht="15.9" customHeight="1" x14ac:dyDescent="0.3">
      <c r="A19" s="32"/>
      <c r="B19" s="545">
        <v>5</v>
      </c>
      <c r="C19" s="490" t="s">
        <v>214</v>
      </c>
      <c r="D19" s="490"/>
      <c r="E19" s="490"/>
      <c r="F19" s="490"/>
      <c r="G19" s="490" t="s">
        <v>4</v>
      </c>
      <c r="H19" s="490"/>
      <c r="I19" s="490" t="s">
        <v>1</v>
      </c>
      <c r="J19" s="490"/>
      <c r="K19" s="490" t="s">
        <v>208</v>
      </c>
      <c r="L19" s="490"/>
      <c r="M19" s="490" t="s">
        <v>209</v>
      </c>
      <c r="N19" s="490"/>
      <c r="O19" s="490"/>
      <c r="P19" s="490"/>
      <c r="Q19" s="490" t="s">
        <v>387</v>
      </c>
      <c r="R19" s="490"/>
      <c r="S19" s="490"/>
      <c r="T19" s="490" t="s">
        <v>213</v>
      </c>
      <c r="U19" s="490"/>
      <c r="V19" s="490"/>
      <c r="W19" s="142" t="s">
        <v>8</v>
      </c>
      <c r="X19" s="494" t="s">
        <v>7</v>
      </c>
      <c r="Y19" s="494"/>
      <c r="Z19" s="495"/>
      <c r="AA19" s="303"/>
      <c r="AL19" s="5" t="s">
        <v>176</v>
      </c>
      <c r="AM19" s="52" t="s">
        <v>76</v>
      </c>
      <c r="AX19" s="5" t="s">
        <v>177</v>
      </c>
      <c r="AY19" s="52" t="s">
        <v>78</v>
      </c>
    </row>
    <row r="20" spans="1:51" ht="15.9" customHeight="1" x14ac:dyDescent="0.3">
      <c r="A20" s="32"/>
      <c r="B20" s="546"/>
      <c r="C20" s="493"/>
      <c r="D20" s="493"/>
      <c r="E20" s="493"/>
      <c r="F20" s="493"/>
      <c r="G20" s="492"/>
      <c r="H20" s="492"/>
      <c r="I20" s="492"/>
      <c r="J20" s="492"/>
      <c r="K20" s="493"/>
      <c r="L20" s="493"/>
      <c r="M20" s="493"/>
      <c r="N20" s="493"/>
      <c r="O20" s="493"/>
      <c r="P20" s="493"/>
      <c r="Q20" s="491"/>
      <c r="R20" s="491"/>
      <c r="S20" s="491"/>
      <c r="T20" s="491"/>
      <c r="U20" s="491"/>
      <c r="V20" s="491"/>
      <c r="W20" s="275"/>
      <c r="X20" s="496">
        <f>IFERROR(INDEX('Расчет фасадов MAX'!$V$3:$V$12, B19)*$X$1,0)</f>
        <v>0</v>
      </c>
      <c r="Y20" s="496"/>
      <c r="Z20" s="497"/>
      <c r="AA20" s="303" t="e">
        <f>MATCH(C20, ФурнитураMAXЦвета[ЦветГруппа], 0)</f>
        <v>#N/A</v>
      </c>
      <c r="AB20" s="448">
        <f>COUNTIF(ФурнитураMAXЦвета[ЦветГруппа], C20)</f>
        <v>0</v>
      </c>
      <c r="AL20" s="5" t="s">
        <v>177</v>
      </c>
      <c r="AM20" s="52" t="s">
        <v>78</v>
      </c>
      <c r="AX20" s="5" t="s">
        <v>178</v>
      </c>
      <c r="AY20" s="52" t="s">
        <v>79</v>
      </c>
    </row>
    <row r="21" spans="1:51" ht="15.9" customHeight="1" x14ac:dyDescent="0.3">
      <c r="A21" s="32"/>
      <c r="K21" s="5"/>
      <c r="L21" s="5"/>
      <c r="N21" s="5"/>
      <c r="V21" s="5"/>
      <c r="Z21" s="31"/>
      <c r="AA21" s="303"/>
      <c r="AL21" s="5" t="s">
        <v>178</v>
      </c>
      <c r="AM21" s="52" t="s">
        <v>79</v>
      </c>
      <c r="AY21" s="53"/>
    </row>
    <row r="22" spans="1:51" ht="15.9" customHeight="1" x14ac:dyDescent="0.3">
      <c r="A22" s="32"/>
      <c r="B22" s="545">
        <v>6</v>
      </c>
      <c r="C22" s="490" t="s">
        <v>214</v>
      </c>
      <c r="D22" s="490"/>
      <c r="E22" s="490"/>
      <c r="F22" s="490"/>
      <c r="G22" s="490" t="s">
        <v>4</v>
      </c>
      <c r="H22" s="490"/>
      <c r="I22" s="490" t="s">
        <v>1</v>
      </c>
      <c r="J22" s="490"/>
      <c r="K22" s="490" t="s">
        <v>208</v>
      </c>
      <c r="L22" s="490"/>
      <c r="M22" s="490" t="s">
        <v>209</v>
      </c>
      <c r="N22" s="490"/>
      <c r="O22" s="490"/>
      <c r="P22" s="490"/>
      <c r="Q22" s="490" t="s">
        <v>387</v>
      </c>
      <c r="R22" s="490"/>
      <c r="S22" s="490"/>
      <c r="T22" s="490" t="s">
        <v>213</v>
      </c>
      <c r="U22" s="490"/>
      <c r="V22" s="490"/>
      <c r="W22" s="142" t="s">
        <v>8</v>
      </c>
      <c r="X22" s="494" t="s">
        <v>7</v>
      </c>
      <c r="Y22" s="494"/>
      <c r="Z22" s="495"/>
      <c r="AA22" s="303"/>
      <c r="AY22" s="53"/>
    </row>
    <row r="23" spans="1:51" ht="15.9" customHeight="1" x14ac:dyDescent="0.3">
      <c r="A23" s="32"/>
      <c r="B23" s="546"/>
      <c r="C23" s="493"/>
      <c r="D23" s="493"/>
      <c r="E23" s="493"/>
      <c r="F23" s="493"/>
      <c r="G23" s="492"/>
      <c r="H23" s="492"/>
      <c r="I23" s="492"/>
      <c r="J23" s="492"/>
      <c r="K23" s="493"/>
      <c r="L23" s="493"/>
      <c r="M23" s="493"/>
      <c r="N23" s="493"/>
      <c r="O23" s="493"/>
      <c r="P23" s="493"/>
      <c r="Q23" s="491"/>
      <c r="R23" s="491"/>
      <c r="S23" s="491"/>
      <c r="T23" s="491"/>
      <c r="U23" s="491"/>
      <c r="V23" s="491"/>
      <c r="W23" s="275"/>
      <c r="X23" s="496">
        <f>IFERROR(INDEX('Расчет фасадов MAX'!$V$3:$V$12, B22)*$X$1,0)</f>
        <v>0</v>
      </c>
      <c r="Y23" s="496"/>
      <c r="Z23" s="497"/>
      <c r="AA23" s="303" t="e">
        <f>MATCH(C23, ФурнитураMAXЦвета[ЦветГруппа], 0)</f>
        <v>#N/A</v>
      </c>
      <c r="AB23" s="448">
        <f>COUNTIF(ФурнитураMAXЦвета[ЦветГруппа], C23)</f>
        <v>0</v>
      </c>
    </row>
    <row r="24" spans="1:51" ht="15.9" customHeight="1" x14ac:dyDescent="0.3">
      <c r="A24" s="32"/>
      <c r="K24" s="5"/>
      <c r="L24" s="5"/>
      <c r="N24" s="5"/>
      <c r="V24" s="5"/>
      <c r="Z24" s="31"/>
      <c r="AA24" s="303"/>
    </row>
    <row r="25" spans="1:51" ht="15.9" customHeight="1" x14ac:dyDescent="0.3">
      <c r="A25" s="32"/>
      <c r="B25" s="545">
        <v>7</v>
      </c>
      <c r="C25" s="490" t="s">
        <v>214</v>
      </c>
      <c r="D25" s="490"/>
      <c r="E25" s="490"/>
      <c r="F25" s="490"/>
      <c r="G25" s="490" t="s">
        <v>4</v>
      </c>
      <c r="H25" s="490"/>
      <c r="I25" s="490" t="s">
        <v>1</v>
      </c>
      <c r="J25" s="490"/>
      <c r="K25" s="490" t="s">
        <v>208</v>
      </c>
      <c r="L25" s="490"/>
      <c r="M25" s="490" t="s">
        <v>209</v>
      </c>
      <c r="N25" s="490"/>
      <c r="O25" s="490"/>
      <c r="P25" s="490"/>
      <c r="Q25" s="490" t="s">
        <v>387</v>
      </c>
      <c r="R25" s="490"/>
      <c r="S25" s="490"/>
      <c r="T25" s="490" t="s">
        <v>213</v>
      </c>
      <c r="U25" s="490"/>
      <c r="V25" s="490"/>
      <c r="W25" s="142" t="s">
        <v>8</v>
      </c>
      <c r="X25" s="494" t="s">
        <v>7</v>
      </c>
      <c r="Y25" s="494"/>
      <c r="Z25" s="495"/>
      <c r="AA25" s="303"/>
    </row>
    <row r="26" spans="1:51" ht="15.9" customHeight="1" x14ac:dyDescent="0.3">
      <c r="A26" s="32"/>
      <c r="B26" s="546"/>
      <c r="C26" s="493"/>
      <c r="D26" s="493"/>
      <c r="E26" s="493"/>
      <c r="F26" s="493"/>
      <c r="G26" s="492"/>
      <c r="H26" s="492"/>
      <c r="I26" s="492"/>
      <c r="J26" s="492"/>
      <c r="K26" s="493"/>
      <c r="L26" s="493"/>
      <c r="M26" s="493"/>
      <c r="N26" s="493"/>
      <c r="O26" s="493"/>
      <c r="P26" s="493"/>
      <c r="Q26" s="491"/>
      <c r="R26" s="491"/>
      <c r="S26" s="491"/>
      <c r="T26" s="491"/>
      <c r="U26" s="491"/>
      <c r="V26" s="491"/>
      <c r="W26" s="275"/>
      <c r="X26" s="496">
        <f>IFERROR(INDEX('Расчет фасадов MAX'!$V$3:$V$12, B25)*$X$1,0)</f>
        <v>0</v>
      </c>
      <c r="Y26" s="496"/>
      <c r="Z26" s="497"/>
      <c r="AA26" s="303" t="e">
        <f>MATCH(C26, ФурнитураMAXЦвета[ЦветГруппа], 0)</f>
        <v>#N/A</v>
      </c>
      <c r="AB26" s="448">
        <f>COUNTIF(ФурнитураMAXЦвета[ЦветГруппа], C26)</f>
        <v>0</v>
      </c>
    </row>
    <row r="27" spans="1:51" ht="15.9" customHeight="1" x14ac:dyDescent="0.3">
      <c r="A27" s="32"/>
      <c r="K27" s="5"/>
      <c r="L27" s="5"/>
      <c r="N27" s="5"/>
      <c r="V27" s="5"/>
      <c r="Z27" s="31"/>
      <c r="AA27" s="303"/>
    </row>
    <row r="28" spans="1:51" ht="15.9" customHeight="1" x14ac:dyDescent="0.3">
      <c r="A28" s="32"/>
      <c r="B28" s="545">
        <v>8</v>
      </c>
      <c r="C28" s="490" t="s">
        <v>214</v>
      </c>
      <c r="D28" s="490"/>
      <c r="E28" s="490"/>
      <c r="F28" s="490"/>
      <c r="G28" s="490" t="s">
        <v>4</v>
      </c>
      <c r="H28" s="490"/>
      <c r="I28" s="490" t="s">
        <v>1</v>
      </c>
      <c r="J28" s="490"/>
      <c r="K28" s="490" t="s">
        <v>208</v>
      </c>
      <c r="L28" s="490"/>
      <c r="M28" s="490" t="s">
        <v>209</v>
      </c>
      <c r="N28" s="490"/>
      <c r="O28" s="490"/>
      <c r="P28" s="490"/>
      <c r="Q28" s="490" t="s">
        <v>387</v>
      </c>
      <c r="R28" s="490"/>
      <c r="S28" s="490"/>
      <c r="T28" s="490" t="s">
        <v>213</v>
      </c>
      <c r="U28" s="490"/>
      <c r="V28" s="490"/>
      <c r="W28" s="142" t="s">
        <v>8</v>
      </c>
      <c r="X28" s="494" t="s">
        <v>7</v>
      </c>
      <c r="Y28" s="494"/>
      <c r="Z28" s="495"/>
      <c r="AA28" s="303"/>
    </row>
    <row r="29" spans="1:51" ht="15.9" customHeight="1" x14ac:dyDescent="0.3">
      <c r="A29" s="32"/>
      <c r="B29" s="546"/>
      <c r="C29" s="493"/>
      <c r="D29" s="493"/>
      <c r="E29" s="493"/>
      <c r="F29" s="493"/>
      <c r="G29" s="492"/>
      <c r="H29" s="492"/>
      <c r="I29" s="492"/>
      <c r="J29" s="492"/>
      <c r="K29" s="493"/>
      <c r="L29" s="493"/>
      <c r="M29" s="493"/>
      <c r="N29" s="493"/>
      <c r="O29" s="493"/>
      <c r="P29" s="493"/>
      <c r="Q29" s="491"/>
      <c r="R29" s="491"/>
      <c r="S29" s="491"/>
      <c r="T29" s="491"/>
      <c r="U29" s="491"/>
      <c r="V29" s="491"/>
      <c r="W29" s="275"/>
      <c r="X29" s="496">
        <f>IFERROR(INDEX('Расчет фасадов MAX'!$V$3:$V$12, B28)*$X$1,0)</f>
        <v>0</v>
      </c>
      <c r="Y29" s="496"/>
      <c r="Z29" s="497"/>
      <c r="AA29" s="303" t="e">
        <f>MATCH(C29, ФурнитураMAXЦвета[ЦветГруппа], 0)</f>
        <v>#N/A</v>
      </c>
      <c r="AB29" s="448">
        <f>COUNTIF(ФурнитураMAXЦвета[ЦветГруппа], C29)</f>
        <v>0</v>
      </c>
    </row>
    <row r="30" spans="1:51" ht="15.9" customHeight="1" x14ac:dyDescent="0.3">
      <c r="A30" s="32"/>
      <c r="K30" s="5"/>
      <c r="L30" s="5"/>
      <c r="N30" s="5"/>
      <c r="V30" s="5"/>
      <c r="Z30" s="31"/>
      <c r="AA30" s="303"/>
    </row>
    <row r="31" spans="1:51" ht="15.9" customHeight="1" x14ac:dyDescent="0.3">
      <c r="A31" s="32"/>
      <c r="B31" s="545">
        <v>9</v>
      </c>
      <c r="C31" s="490" t="s">
        <v>214</v>
      </c>
      <c r="D31" s="490"/>
      <c r="E31" s="490"/>
      <c r="F31" s="490"/>
      <c r="G31" s="490" t="s">
        <v>4</v>
      </c>
      <c r="H31" s="490"/>
      <c r="I31" s="490" t="s">
        <v>1</v>
      </c>
      <c r="J31" s="490"/>
      <c r="K31" s="490" t="s">
        <v>208</v>
      </c>
      <c r="L31" s="490"/>
      <c r="M31" s="490" t="s">
        <v>209</v>
      </c>
      <c r="N31" s="490"/>
      <c r="O31" s="490"/>
      <c r="P31" s="490"/>
      <c r="Q31" s="490" t="s">
        <v>387</v>
      </c>
      <c r="R31" s="490"/>
      <c r="S31" s="490"/>
      <c r="T31" s="490" t="s">
        <v>213</v>
      </c>
      <c r="U31" s="490"/>
      <c r="V31" s="490"/>
      <c r="W31" s="142" t="s">
        <v>8</v>
      </c>
      <c r="X31" s="494" t="s">
        <v>7</v>
      </c>
      <c r="Y31" s="494"/>
      <c r="Z31" s="495"/>
      <c r="AA31" s="303"/>
    </row>
    <row r="32" spans="1:51" ht="15.9" customHeight="1" x14ac:dyDescent="0.3">
      <c r="A32" s="32"/>
      <c r="B32" s="546"/>
      <c r="C32" s="493"/>
      <c r="D32" s="493"/>
      <c r="E32" s="493"/>
      <c r="F32" s="493"/>
      <c r="G32" s="492"/>
      <c r="H32" s="492"/>
      <c r="I32" s="492"/>
      <c r="J32" s="492"/>
      <c r="K32" s="493"/>
      <c r="L32" s="493"/>
      <c r="M32" s="493"/>
      <c r="N32" s="493"/>
      <c r="O32" s="493"/>
      <c r="P32" s="493"/>
      <c r="Q32" s="491"/>
      <c r="R32" s="491"/>
      <c r="S32" s="491"/>
      <c r="T32" s="491"/>
      <c r="U32" s="491"/>
      <c r="V32" s="491"/>
      <c r="W32" s="275"/>
      <c r="X32" s="496">
        <f>IFERROR(INDEX('Расчет фасадов MAX'!$V$3:$V$12, B31)*$X$1,0)</f>
        <v>0</v>
      </c>
      <c r="Y32" s="496"/>
      <c r="Z32" s="497"/>
      <c r="AA32" s="303" t="e">
        <f>MATCH(C32, ФурнитураMAXЦвета[ЦветГруппа], 0)</f>
        <v>#N/A</v>
      </c>
      <c r="AB32" s="448">
        <f>COUNTIF(ФурнитураMAXЦвета[ЦветГруппа], C32)</f>
        <v>0</v>
      </c>
    </row>
    <row r="33" spans="1:28" ht="15.9" customHeight="1" x14ac:dyDescent="0.3">
      <c r="A33" s="32"/>
      <c r="K33" s="5"/>
      <c r="L33" s="5"/>
      <c r="N33" s="5"/>
      <c r="V33" s="5"/>
      <c r="Z33" s="31"/>
      <c r="AA33" s="303"/>
    </row>
    <row r="34" spans="1:28" ht="15.9" customHeight="1" x14ac:dyDescent="0.3">
      <c r="A34" s="441"/>
      <c r="B34" s="545">
        <v>10</v>
      </c>
      <c r="C34" s="490" t="s">
        <v>214</v>
      </c>
      <c r="D34" s="490"/>
      <c r="E34" s="490"/>
      <c r="F34" s="490"/>
      <c r="G34" s="490" t="s">
        <v>4</v>
      </c>
      <c r="H34" s="490"/>
      <c r="I34" s="490" t="s">
        <v>1</v>
      </c>
      <c r="J34" s="490"/>
      <c r="K34" s="490" t="s">
        <v>208</v>
      </c>
      <c r="L34" s="490"/>
      <c r="M34" s="490" t="s">
        <v>209</v>
      </c>
      <c r="N34" s="490"/>
      <c r="O34" s="490"/>
      <c r="P34" s="490"/>
      <c r="Q34" s="490" t="s">
        <v>387</v>
      </c>
      <c r="R34" s="490"/>
      <c r="S34" s="490"/>
      <c r="T34" s="490" t="s">
        <v>213</v>
      </c>
      <c r="U34" s="490"/>
      <c r="V34" s="490"/>
      <c r="W34" s="142" t="s">
        <v>8</v>
      </c>
      <c r="X34" s="494" t="s">
        <v>7</v>
      </c>
      <c r="Y34" s="494"/>
      <c r="Z34" s="495"/>
      <c r="AA34" s="303"/>
    </row>
    <row r="35" spans="1:28" ht="15.9" customHeight="1" x14ac:dyDescent="0.3">
      <c r="A35" s="441"/>
      <c r="B35" s="546"/>
      <c r="C35" s="493"/>
      <c r="D35" s="493"/>
      <c r="E35" s="493"/>
      <c r="F35" s="493"/>
      <c r="G35" s="492"/>
      <c r="H35" s="492"/>
      <c r="I35" s="492"/>
      <c r="J35" s="492"/>
      <c r="K35" s="493"/>
      <c r="L35" s="493"/>
      <c r="M35" s="493"/>
      <c r="N35" s="493"/>
      <c r="O35" s="493"/>
      <c r="P35" s="493"/>
      <c r="Q35" s="491"/>
      <c r="R35" s="491"/>
      <c r="S35" s="491"/>
      <c r="T35" s="491"/>
      <c r="U35" s="491"/>
      <c r="V35" s="491"/>
      <c r="W35" s="275"/>
      <c r="X35" s="496">
        <f>IFERROR(INDEX('Расчет фасадов MAX'!$V$3:$V$12, B34)*$X$1,0)</f>
        <v>0</v>
      </c>
      <c r="Y35" s="496"/>
      <c r="Z35" s="497"/>
      <c r="AA35" s="303" t="e">
        <f>MATCH(C35, ФурнитураMAXЦвета[ЦветГруппа], 0)</f>
        <v>#N/A</v>
      </c>
      <c r="AB35" s="448">
        <f>COUNTIF(ФурнитураMAXЦвета[ЦветГруппа], C35)</f>
        <v>0</v>
      </c>
    </row>
    <row r="36" spans="1:28" ht="15.9" customHeight="1" x14ac:dyDescent="0.3">
      <c r="A36" s="441"/>
      <c r="K36" s="5"/>
      <c r="L36" s="5"/>
      <c r="N36" s="5"/>
      <c r="P36" s="402"/>
      <c r="Q36" s="402"/>
      <c r="R36" s="16"/>
      <c r="Z36" s="31"/>
    </row>
    <row r="37" spans="1:28" ht="15.9" customHeight="1" x14ac:dyDescent="0.3">
      <c r="A37" s="32"/>
      <c r="B37" s="36"/>
      <c r="C37" s="36"/>
      <c r="K37" s="5"/>
      <c r="L37" s="5"/>
      <c r="M37" s="10"/>
      <c r="N37" s="1"/>
      <c r="Z37" s="31"/>
    </row>
    <row r="38" spans="1:28" ht="15.9" customHeight="1" x14ac:dyDescent="0.35">
      <c r="A38" s="442"/>
      <c r="B38" s="513" t="s">
        <v>685</v>
      </c>
      <c r="C38" s="513"/>
      <c r="D38" s="513"/>
      <c r="E38" s="513"/>
      <c r="F38" s="434"/>
      <c r="G38" s="514" t="s">
        <v>6</v>
      </c>
      <c r="H38" s="515"/>
      <c r="I38" s="431" t="s">
        <v>17</v>
      </c>
      <c r="J38" s="516" t="s">
        <v>27</v>
      </c>
      <c r="K38" s="516"/>
      <c r="L38" s="516"/>
      <c r="M38" s="434"/>
      <c r="N38" s="516" t="s">
        <v>19</v>
      </c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517"/>
    </row>
    <row r="39" spans="1:28" ht="15.9" customHeight="1" x14ac:dyDescent="0.3">
      <c r="A39" s="442"/>
      <c r="B39" s="498" t="s">
        <v>262</v>
      </c>
      <c r="C39" s="499"/>
      <c r="D39" s="499"/>
      <c r="E39" s="499"/>
      <c r="F39" s="500"/>
      <c r="G39" s="504">
        <f>SUM(X8,X11,X14,X17,X20,X23,X26,X29,X32,X35)</f>
        <v>0</v>
      </c>
      <c r="H39" s="505"/>
      <c r="I39" s="508">
        <v>0</v>
      </c>
      <c r="J39" s="510">
        <f>ROUNDUP(G39-G39*I39,0)</f>
        <v>0</v>
      </c>
      <c r="K39" s="510"/>
      <c r="L39" s="510"/>
      <c r="M39" s="434"/>
      <c r="N39" s="511"/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511"/>
      <c r="Z39" s="512"/>
    </row>
    <row r="40" spans="1:28" ht="15.9" customHeight="1" x14ac:dyDescent="0.3">
      <c r="A40" s="442"/>
      <c r="B40" s="501"/>
      <c r="C40" s="502"/>
      <c r="D40" s="502"/>
      <c r="E40" s="502"/>
      <c r="F40" s="503"/>
      <c r="G40" s="506"/>
      <c r="H40" s="507"/>
      <c r="I40" s="509"/>
      <c r="J40" s="510"/>
      <c r="K40" s="510"/>
      <c r="L40" s="510"/>
      <c r="M40" s="443"/>
      <c r="N40" s="511"/>
      <c r="O40" s="511"/>
      <c r="P40" s="511"/>
      <c r="Q40" s="511"/>
      <c r="R40" s="511"/>
      <c r="S40" s="511"/>
      <c r="T40" s="511"/>
      <c r="U40" s="511"/>
      <c r="V40" s="511"/>
      <c r="W40" s="511"/>
      <c r="X40" s="511"/>
      <c r="Y40" s="511"/>
      <c r="Z40" s="512"/>
    </row>
    <row r="41" spans="1:28" ht="15.9" customHeight="1" x14ac:dyDescent="0.3">
      <c r="A41" s="442"/>
      <c r="M41" s="434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2"/>
    </row>
    <row r="42" spans="1:28" ht="15.9" customHeight="1" x14ac:dyDescent="0.3">
      <c r="A42" s="442"/>
      <c r="B42" s="43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34"/>
      <c r="N42" s="541"/>
      <c r="O42" s="541"/>
      <c r="P42" s="541"/>
      <c r="Q42" s="541"/>
      <c r="R42" s="541"/>
      <c r="S42" s="541"/>
      <c r="T42" s="541"/>
      <c r="U42" s="541"/>
      <c r="V42" s="541"/>
      <c r="W42" s="541"/>
      <c r="X42" s="541"/>
      <c r="Y42" s="541"/>
      <c r="Z42" s="542"/>
    </row>
    <row r="43" spans="1:28" ht="15.9" customHeight="1" x14ac:dyDescent="0.35">
      <c r="A43" s="442"/>
      <c r="B43" s="51"/>
      <c r="J43" s="10"/>
      <c r="K43" s="5"/>
      <c r="L43" s="5"/>
      <c r="M43" s="434"/>
      <c r="N43" s="444"/>
      <c r="O43" s="444"/>
      <c r="P43" s="434"/>
      <c r="Q43" s="434"/>
      <c r="R43" s="434"/>
      <c r="S43" s="434"/>
      <c r="T43" s="434"/>
      <c r="U43" s="434"/>
      <c r="V43" s="434"/>
      <c r="W43" s="434"/>
      <c r="X43" s="434"/>
      <c r="Y43" s="434"/>
      <c r="Z43" s="417"/>
    </row>
    <row r="44" spans="1:28" ht="15.9" customHeight="1" x14ac:dyDescent="0.3">
      <c r="A44" s="442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434"/>
      <c r="N44" s="518" t="s">
        <v>20</v>
      </c>
      <c r="O44" s="519"/>
      <c r="P44" s="528"/>
      <c r="Q44" s="529"/>
      <c r="R44" s="529"/>
      <c r="S44" s="529"/>
      <c r="T44" s="529"/>
      <c r="U44" s="529"/>
      <c r="V44" s="529"/>
      <c r="W44" s="529"/>
      <c r="X44" s="529"/>
      <c r="Y44" s="529"/>
      <c r="Z44" s="543"/>
    </row>
    <row r="45" spans="1:28" ht="15.9" customHeight="1" x14ac:dyDescent="0.3">
      <c r="A45" s="442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434"/>
      <c r="N45" s="520"/>
      <c r="O45" s="521"/>
      <c r="P45" s="531"/>
      <c r="Q45" s="532"/>
      <c r="R45" s="532"/>
      <c r="S45" s="532"/>
      <c r="T45" s="532"/>
      <c r="U45" s="532"/>
      <c r="V45" s="532"/>
      <c r="W45" s="532"/>
      <c r="X45" s="532"/>
      <c r="Y45" s="532"/>
      <c r="Z45" s="544"/>
    </row>
    <row r="46" spans="1:28" ht="15.9" customHeight="1" x14ac:dyDescent="0.3">
      <c r="A46" s="44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434"/>
      <c r="N46" s="518" t="s">
        <v>21</v>
      </c>
      <c r="O46" s="519"/>
      <c r="P46" s="528"/>
      <c r="Q46" s="529"/>
      <c r="R46" s="529"/>
      <c r="S46" s="529"/>
      <c r="T46" s="529"/>
      <c r="U46" s="529"/>
      <c r="V46" s="529"/>
      <c r="W46" s="529"/>
      <c r="X46" s="529"/>
      <c r="Y46" s="529"/>
      <c r="Z46" s="543"/>
    </row>
    <row r="47" spans="1:28" ht="15.9" customHeight="1" x14ac:dyDescent="0.3">
      <c r="A47" s="44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434"/>
      <c r="N47" s="520"/>
      <c r="O47" s="521"/>
      <c r="P47" s="531"/>
      <c r="Q47" s="532"/>
      <c r="R47" s="532"/>
      <c r="S47" s="532"/>
      <c r="T47" s="532"/>
      <c r="U47" s="532"/>
      <c r="V47" s="532"/>
      <c r="W47" s="532"/>
      <c r="X47" s="532"/>
      <c r="Y47" s="532"/>
      <c r="Z47" s="544"/>
    </row>
    <row r="48" spans="1:28" ht="15.9" customHeight="1" x14ac:dyDescent="0.3">
      <c r="A48" s="44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445"/>
      <c r="N48" s="518" t="s">
        <v>22</v>
      </c>
      <c r="O48" s="519"/>
      <c r="P48" s="528"/>
      <c r="Q48" s="529"/>
      <c r="R48" s="529"/>
      <c r="S48" s="530"/>
      <c r="T48" s="518" t="s">
        <v>38</v>
      </c>
      <c r="U48" s="519"/>
      <c r="V48" s="522"/>
      <c r="W48" s="523"/>
      <c r="X48" s="523"/>
      <c r="Y48" s="523"/>
      <c r="Z48" s="524"/>
    </row>
    <row r="49" spans="1:26" ht="15.9" customHeight="1" x14ac:dyDescent="0.3">
      <c r="A49" s="44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434"/>
      <c r="N49" s="520"/>
      <c r="O49" s="521"/>
      <c r="P49" s="531"/>
      <c r="Q49" s="532"/>
      <c r="R49" s="532"/>
      <c r="S49" s="533"/>
      <c r="T49" s="520"/>
      <c r="U49" s="521"/>
      <c r="V49" s="525"/>
      <c r="W49" s="526"/>
      <c r="X49" s="526"/>
      <c r="Y49" s="526"/>
      <c r="Z49" s="527"/>
    </row>
    <row r="50" spans="1:26" ht="15.9" customHeight="1" x14ac:dyDescent="0.3">
      <c r="A50" s="44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434"/>
      <c r="N50" s="518" t="s">
        <v>23</v>
      </c>
      <c r="O50" s="519"/>
      <c r="P50" s="528"/>
      <c r="Q50" s="529"/>
      <c r="R50" s="529"/>
      <c r="S50" s="530"/>
      <c r="T50" s="534" t="s">
        <v>24</v>
      </c>
      <c r="U50" s="535"/>
      <c r="V50" s="522"/>
      <c r="W50" s="523"/>
      <c r="X50" s="523"/>
      <c r="Y50" s="523"/>
      <c r="Z50" s="524"/>
    </row>
    <row r="51" spans="1:26" ht="15.9" customHeight="1" x14ac:dyDescent="0.3">
      <c r="A51" s="44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434"/>
      <c r="N51" s="520"/>
      <c r="O51" s="521"/>
      <c r="P51" s="531"/>
      <c r="Q51" s="532"/>
      <c r="R51" s="532"/>
      <c r="S51" s="533"/>
      <c r="T51" s="536"/>
      <c r="U51" s="537"/>
      <c r="V51" s="538"/>
      <c r="W51" s="539"/>
      <c r="X51" s="539"/>
      <c r="Y51" s="539"/>
      <c r="Z51" s="540"/>
    </row>
    <row r="52" spans="1:26" ht="15.9" customHeight="1" x14ac:dyDescent="0.3">
      <c r="A52" s="44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434"/>
      <c r="N52" s="534" t="s">
        <v>25</v>
      </c>
      <c r="O52" s="535"/>
      <c r="P52" s="528"/>
      <c r="Q52" s="529"/>
      <c r="R52" s="529"/>
      <c r="S52" s="529"/>
      <c r="T52" s="529"/>
      <c r="U52" s="530"/>
      <c r="V52" s="538"/>
      <c r="W52" s="539"/>
      <c r="X52" s="539"/>
      <c r="Y52" s="539"/>
      <c r="Z52" s="540"/>
    </row>
    <row r="53" spans="1:26" ht="15.9" customHeight="1" x14ac:dyDescent="0.3">
      <c r="A53" s="442"/>
      <c r="K53" s="5"/>
      <c r="L53" s="5"/>
      <c r="M53" s="434"/>
      <c r="N53" s="536"/>
      <c r="O53" s="537"/>
      <c r="P53" s="531"/>
      <c r="Q53" s="532"/>
      <c r="R53" s="532"/>
      <c r="S53" s="532"/>
      <c r="T53" s="532"/>
      <c r="U53" s="533"/>
      <c r="V53" s="525"/>
      <c r="W53" s="526"/>
      <c r="X53" s="526"/>
      <c r="Y53" s="526"/>
      <c r="Z53" s="527"/>
    </row>
    <row r="54" spans="1:26" ht="15.9" customHeight="1" x14ac:dyDescent="0.3">
      <c r="A54" s="442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Z54" s="31"/>
    </row>
    <row r="55" spans="1:26" ht="15.9" customHeight="1" x14ac:dyDescent="0.3">
      <c r="A55" s="469" t="s">
        <v>26</v>
      </c>
      <c r="B55" s="470"/>
      <c r="C55" s="470"/>
      <c r="D55" s="470"/>
      <c r="E55" s="470"/>
      <c r="F55" s="470"/>
      <c r="G55" s="470"/>
      <c r="H55" s="470"/>
      <c r="I55" s="470"/>
      <c r="J55" s="470"/>
      <c r="K55" s="470"/>
      <c r="L55" s="470"/>
      <c r="M55" s="470"/>
      <c r="N55" s="470"/>
      <c r="O55" s="470"/>
      <c r="P55" s="470"/>
      <c r="Q55" s="470"/>
      <c r="R55" s="470"/>
      <c r="S55" s="470"/>
      <c r="T55" s="470"/>
      <c r="U55" s="470"/>
      <c r="V55" s="470"/>
      <c r="W55" s="470"/>
      <c r="X55" s="470"/>
      <c r="Y55" s="470"/>
      <c r="Z55" s="471"/>
    </row>
    <row r="56" spans="1:26" ht="15.9" customHeight="1" thickBot="1" x14ac:dyDescent="0.35">
      <c r="A56" s="472"/>
      <c r="B56" s="473"/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3"/>
      <c r="U56" s="473"/>
      <c r="V56" s="473"/>
      <c r="W56" s="473"/>
      <c r="X56" s="473"/>
      <c r="Y56" s="473"/>
      <c r="Z56" s="474"/>
    </row>
    <row r="57" spans="1:26" ht="15.9" customHeight="1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26" ht="15.9" customHeight="1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26" ht="15.9" customHeight="1" x14ac:dyDescent="0.3"/>
    <row r="60" spans="1:26" ht="15.9" customHeight="1" x14ac:dyDescent="0.3"/>
    <row r="61" spans="1:26" ht="15.9" customHeight="1" x14ac:dyDescent="0.3">
      <c r="A61" s="9"/>
    </row>
    <row r="62" spans="1:26" ht="15.9" customHeight="1" x14ac:dyDescent="0.3">
      <c r="A62" s="9"/>
    </row>
    <row r="63" spans="1:26" ht="15.9" customHeight="1" x14ac:dyDescent="0.3">
      <c r="A63" s="9"/>
    </row>
    <row r="64" spans="1:26" ht="15.9" customHeight="1" x14ac:dyDescent="0.3">
      <c r="A64" s="9"/>
    </row>
    <row r="65" spans="1:1" ht="15.9" customHeight="1" x14ac:dyDescent="0.3">
      <c r="A65" s="9"/>
    </row>
    <row r="66" spans="1:1" ht="15.9" customHeight="1" x14ac:dyDescent="0.3">
      <c r="A66" s="9"/>
    </row>
    <row r="67" spans="1:1" ht="15.9" customHeight="1" x14ac:dyDescent="0.3">
      <c r="A67" s="9"/>
    </row>
    <row r="68" spans="1:1" ht="15.9" customHeight="1" x14ac:dyDescent="0.3">
      <c r="A68" s="9"/>
    </row>
    <row r="69" spans="1:1" ht="15.9" customHeight="1" x14ac:dyDescent="0.3">
      <c r="A69" s="9"/>
    </row>
    <row r="70" spans="1:1" ht="15.9" customHeight="1" x14ac:dyDescent="0.3">
      <c r="A70" s="9"/>
    </row>
    <row r="71" spans="1:1" ht="15.9" customHeight="1" x14ac:dyDescent="0.3">
      <c r="A71" s="9"/>
    </row>
    <row r="72" spans="1:1" ht="15.9" customHeight="1" x14ac:dyDescent="0.3">
      <c r="A72" s="9"/>
    </row>
    <row r="73" spans="1:1" ht="15.9" customHeight="1" x14ac:dyDescent="0.3">
      <c r="A73" s="9"/>
    </row>
    <row r="74" spans="1:1" ht="15.9" customHeight="1" x14ac:dyDescent="0.3">
      <c r="A74" s="9"/>
    </row>
    <row r="75" spans="1:1" ht="15.9" customHeight="1" x14ac:dyDescent="0.3">
      <c r="A75" s="9"/>
    </row>
    <row r="76" spans="1:1" ht="15.9" customHeight="1" x14ac:dyDescent="0.3">
      <c r="A76" s="9"/>
    </row>
    <row r="77" spans="1:1" ht="15.9" customHeight="1" x14ac:dyDescent="0.3">
      <c r="A77" s="9"/>
    </row>
    <row r="78" spans="1:1" ht="15.9" customHeight="1" x14ac:dyDescent="0.3">
      <c r="A78" s="9"/>
    </row>
    <row r="79" spans="1:1" ht="15.9" customHeight="1" x14ac:dyDescent="0.3">
      <c r="A79" s="9"/>
    </row>
    <row r="80" spans="1:1" ht="15.9" customHeight="1" x14ac:dyDescent="0.3">
      <c r="A80" s="9"/>
    </row>
    <row r="81" spans="1:1" ht="15.9" customHeight="1" x14ac:dyDescent="0.3">
      <c r="A81" s="9"/>
    </row>
    <row r="82" spans="1:1" ht="15.9" customHeight="1" x14ac:dyDescent="0.3">
      <c r="A82" s="9"/>
    </row>
    <row r="83" spans="1:1" ht="15.9" customHeight="1" x14ac:dyDescent="0.3">
      <c r="A83" s="9"/>
    </row>
    <row r="84" spans="1:1" ht="15.9" customHeight="1" x14ac:dyDescent="0.3">
      <c r="A84" s="9"/>
    </row>
    <row r="85" spans="1:1" ht="15.9" customHeight="1" x14ac:dyDescent="0.3">
      <c r="A85" s="9"/>
    </row>
    <row r="86" spans="1:1" ht="15.9" customHeight="1" x14ac:dyDescent="0.3">
      <c r="A86" s="9"/>
    </row>
    <row r="87" spans="1:1" ht="15.9" customHeight="1" x14ac:dyDescent="0.3">
      <c r="A87" s="9"/>
    </row>
    <row r="88" spans="1:1" ht="15.9" customHeight="1" x14ac:dyDescent="0.3">
      <c r="A88" s="9"/>
    </row>
    <row r="89" spans="1:1" x14ac:dyDescent="0.3">
      <c r="A89" s="9"/>
    </row>
    <row r="90" spans="1:1" x14ac:dyDescent="0.3">
      <c r="A90" s="9"/>
    </row>
    <row r="91" spans="1:1" x14ac:dyDescent="0.3">
      <c r="A91" s="9"/>
    </row>
    <row r="92" spans="1:1" x14ac:dyDescent="0.3">
      <c r="A92" s="9"/>
    </row>
    <row r="93" spans="1:1" x14ac:dyDescent="0.3">
      <c r="A93" s="9"/>
    </row>
    <row r="94" spans="1:1" x14ac:dyDescent="0.3">
      <c r="A94" s="9"/>
    </row>
    <row r="95" spans="1:1" x14ac:dyDescent="0.3">
      <c r="A95" s="9"/>
    </row>
    <row r="96" spans="1:1" x14ac:dyDescent="0.3">
      <c r="A96" s="9"/>
    </row>
    <row r="97" spans="1:1" x14ac:dyDescent="0.3">
      <c r="A97" s="9"/>
    </row>
    <row r="98" spans="1:1" x14ac:dyDescent="0.3">
      <c r="A98" s="9"/>
    </row>
    <row r="99" spans="1:1" x14ac:dyDescent="0.3">
      <c r="A99" s="9"/>
    </row>
    <row r="100" spans="1:1" x14ac:dyDescent="0.3">
      <c r="A100" s="9"/>
    </row>
    <row r="101" spans="1:1" x14ac:dyDescent="0.3">
      <c r="A101" s="9"/>
    </row>
    <row r="102" spans="1:1" x14ac:dyDescent="0.3">
      <c r="A102" s="9"/>
    </row>
    <row r="103" spans="1:1" x14ac:dyDescent="0.3">
      <c r="A103" s="9"/>
    </row>
    <row r="104" spans="1:1" x14ac:dyDescent="0.3">
      <c r="A104" s="9"/>
    </row>
    <row r="105" spans="1:1" x14ac:dyDescent="0.3">
      <c r="A105" s="9"/>
    </row>
    <row r="106" spans="1:1" x14ac:dyDescent="0.3">
      <c r="A106" s="9"/>
    </row>
    <row r="107" spans="1:1" x14ac:dyDescent="0.3">
      <c r="A107" s="9"/>
    </row>
    <row r="108" spans="1:1" x14ac:dyDescent="0.3">
      <c r="A108" s="9"/>
    </row>
    <row r="109" spans="1:1" x14ac:dyDescent="0.3">
      <c r="A109" s="9"/>
    </row>
    <row r="110" spans="1:1" x14ac:dyDescent="0.3">
      <c r="A110" s="9"/>
    </row>
    <row r="111" spans="1:1" x14ac:dyDescent="0.3">
      <c r="A111" s="9"/>
    </row>
    <row r="112" spans="1:1" x14ac:dyDescent="0.3">
      <c r="A112" s="9"/>
    </row>
    <row r="113" spans="1:1" x14ac:dyDescent="0.3">
      <c r="A113" s="9"/>
    </row>
    <row r="114" spans="1:1" x14ac:dyDescent="0.3">
      <c r="A114" s="9"/>
    </row>
    <row r="115" spans="1:1" x14ac:dyDescent="0.3">
      <c r="A115" s="9"/>
    </row>
    <row r="116" spans="1:1" x14ac:dyDescent="0.3">
      <c r="A116" s="9"/>
    </row>
    <row r="117" spans="1:1" x14ac:dyDescent="0.3">
      <c r="A117" s="9"/>
    </row>
    <row r="118" spans="1:1" x14ac:dyDescent="0.3">
      <c r="A118" s="9"/>
    </row>
    <row r="119" spans="1:1" x14ac:dyDescent="0.3">
      <c r="A119" s="9"/>
    </row>
    <row r="120" spans="1:1" x14ac:dyDescent="0.3">
      <c r="A120" s="9"/>
    </row>
    <row r="121" spans="1:1" x14ac:dyDescent="0.3">
      <c r="A121" s="9"/>
    </row>
    <row r="122" spans="1:1" x14ac:dyDescent="0.3">
      <c r="A122" s="9"/>
    </row>
    <row r="123" spans="1:1" x14ac:dyDescent="0.3">
      <c r="A123" s="9"/>
    </row>
    <row r="124" spans="1:1" x14ac:dyDescent="0.3">
      <c r="A124" s="9"/>
    </row>
    <row r="125" spans="1:1" x14ac:dyDescent="0.3">
      <c r="A125" s="9"/>
    </row>
    <row r="126" spans="1:1" x14ac:dyDescent="0.3">
      <c r="A126" s="9"/>
    </row>
    <row r="127" spans="1:1" x14ac:dyDescent="0.3">
      <c r="A127" s="9"/>
    </row>
    <row r="128" spans="1:1" x14ac:dyDescent="0.3">
      <c r="A128" s="9"/>
    </row>
    <row r="129" spans="1:1" x14ac:dyDescent="0.3">
      <c r="A129" s="9"/>
    </row>
    <row r="130" spans="1:1" x14ac:dyDescent="0.3">
      <c r="A130" s="9"/>
    </row>
    <row r="131" spans="1:1" x14ac:dyDescent="0.3">
      <c r="A131" s="9"/>
    </row>
    <row r="132" spans="1:1" x14ac:dyDescent="0.3">
      <c r="A132" s="9"/>
    </row>
    <row r="133" spans="1:1" x14ac:dyDescent="0.3">
      <c r="A133" s="9"/>
    </row>
    <row r="134" spans="1:1" x14ac:dyDescent="0.3">
      <c r="A134" s="9"/>
    </row>
    <row r="135" spans="1:1" x14ac:dyDescent="0.3">
      <c r="A135" s="9"/>
    </row>
    <row r="136" spans="1:1" x14ac:dyDescent="0.3">
      <c r="A136" s="9"/>
    </row>
    <row r="137" spans="1:1" x14ac:dyDescent="0.3">
      <c r="A137" s="9"/>
    </row>
    <row r="138" spans="1:1" x14ac:dyDescent="0.3">
      <c r="A138" s="9"/>
    </row>
    <row r="139" spans="1:1" x14ac:dyDescent="0.3">
      <c r="A139" s="9"/>
    </row>
    <row r="140" spans="1:1" x14ac:dyDescent="0.3">
      <c r="A140" s="9"/>
    </row>
    <row r="141" spans="1:1" x14ac:dyDescent="0.3">
      <c r="A141" s="9"/>
    </row>
    <row r="142" spans="1:1" x14ac:dyDescent="0.3">
      <c r="A142" s="9"/>
    </row>
    <row r="143" spans="1:1" x14ac:dyDescent="0.3">
      <c r="A143" s="9"/>
    </row>
    <row r="144" spans="1:1" x14ac:dyDescent="0.3">
      <c r="A144" s="9"/>
    </row>
    <row r="145" spans="1:1" x14ac:dyDescent="0.3">
      <c r="A145" s="9"/>
    </row>
    <row r="146" spans="1:1" x14ac:dyDescent="0.3">
      <c r="A146" s="9"/>
    </row>
    <row r="147" spans="1:1" x14ac:dyDescent="0.3">
      <c r="A147" s="9"/>
    </row>
    <row r="148" spans="1:1" x14ac:dyDescent="0.3">
      <c r="A148" s="9"/>
    </row>
    <row r="149" spans="1:1" x14ac:dyDescent="0.3">
      <c r="A149" s="9"/>
    </row>
    <row r="150" spans="1:1" x14ac:dyDescent="0.3">
      <c r="A150" s="9"/>
    </row>
    <row r="151" spans="1:1" x14ac:dyDescent="0.3">
      <c r="A151" s="9"/>
    </row>
    <row r="152" spans="1:1" x14ac:dyDescent="0.3">
      <c r="A152" s="9"/>
    </row>
    <row r="153" spans="1:1" x14ac:dyDescent="0.3">
      <c r="A153" s="9"/>
    </row>
    <row r="154" spans="1:1" x14ac:dyDescent="0.3">
      <c r="A154" s="9"/>
    </row>
    <row r="155" spans="1:1" x14ac:dyDescent="0.3">
      <c r="A155" s="9"/>
    </row>
    <row r="156" spans="1:1" x14ac:dyDescent="0.3">
      <c r="A156" s="9"/>
    </row>
    <row r="157" spans="1:1" x14ac:dyDescent="0.3">
      <c r="A157" s="9"/>
    </row>
    <row r="158" spans="1:1" x14ac:dyDescent="0.3">
      <c r="A158" s="9"/>
    </row>
    <row r="159" spans="1:1" x14ac:dyDescent="0.3">
      <c r="A159" s="9"/>
    </row>
    <row r="160" spans="1:1" x14ac:dyDescent="0.3">
      <c r="A160" s="9"/>
    </row>
    <row r="161" spans="1:1" x14ac:dyDescent="0.3">
      <c r="A161" s="9"/>
    </row>
    <row r="162" spans="1:1" x14ac:dyDescent="0.3">
      <c r="A162" s="9"/>
    </row>
    <row r="163" spans="1:1" x14ac:dyDescent="0.3">
      <c r="A163" s="9"/>
    </row>
    <row r="164" spans="1:1" x14ac:dyDescent="0.3">
      <c r="A164" s="9"/>
    </row>
    <row r="165" spans="1:1" x14ac:dyDescent="0.3">
      <c r="A165" s="9"/>
    </row>
    <row r="166" spans="1:1" x14ac:dyDescent="0.3">
      <c r="A166" s="9"/>
    </row>
    <row r="167" spans="1:1" x14ac:dyDescent="0.3">
      <c r="A167" s="9"/>
    </row>
    <row r="168" spans="1:1" x14ac:dyDescent="0.3">
      <c r="A168" s="9"/>
    </row>
    <row r="169" spans="1:1" x14ac:dyDescent="0.3">
      <c r="A169" s="9"/>
    </row>
    <row r="170" spans="1:1" x14ac:dyDescent="0.3">
      <c r="A170" s="9"/>
    </row>
    <row r="171" spans="1:1" x14ac:dyDescent="0.3">
      <c r="A171" s="9"/>
    </row>
    <row r="172" spans="1:1" x14ac:dyDescent="0.3">
      <c r="A172" s="9"/>
    </row>
    <row r="173" spans="1:1" x14ac:dyDescent="0.3">
      <c r="A173" s="9"/>
    </row>
    <row r="174" spans="1:1" x14ac:dyDescent="0.3">
      <c r="A174" s="9"/>
    </row>
    <row r="175" spans="1:1" x14ac:dyDescent="0.3">
      <c r="A175" s="9"/>
    </row>
    <row r="176" spans="1:1" x14ac:dyDescent="0.3">
      <c r="A176" s="9"/>
    </row>
    <row r="177" spans="1:1" x14ac:dyDescent="0.3">
      <c r="A177" s="9"/>
    </row>
    <row r="178" spans="1:1" x14ac:dyDescent="0.3">
      <c r="A178" s="9"/>
    </row>
    <row r="179" spans="1:1" x14ac:dyDescent="0.3">
      <c r="A179" s="9"/>
    </row>
    <row r="180" spans="1:1" x14ac:dyDescent="0.3">
      <c r="A180" s="9"/>
    </row>
    <row r="181" spans="1:1" x14ac:dyDescent="0.3">
      <c r="A181" s="9"/>
    </row>
    <row r="182" spans="1:1" x14ac:dyDescent="0.3">
      <c r="A182" s="9"/>
    </row>
    <row r="183" spans="1:1" x14ac:dyDescent="0.3">
      <c r="A183" s="9"/>
    </row>
    <row r="184" spans="1:1" x14ac:dyDescent="0.3">
      <c r="A184" s="9"/>
    </row>
    <row r="185" spans="1:1" x14ac:dyDescent="0.3">
      <c r="A185" s="9"/>
    </row>
    <row r="186" spans="1:1" x14ac:dyDescent="0.3">
      <c r="A186" s="9"/>
    </row>
    <row r="187" spans="1:1" x14ac:dyDescent="0.3">
      <c r="A187" s="9"/>
    </row>
    <row r="188" spans="1:1" x14ac:dyDescent="0.3">
      <c r="A188" s="9"/>
    </row>
    <row r="189" spans="1:1" x14ac:dyDescent="0.3">
      <c r="A189" s="9"/>
    </row>
    <row r="190" spans="1:1" x14ac:dyDescent="0.3">
      <c r="A190" s="9"/>
    </row>
    <row r="191" spans="1:1" x14ac:dyDescent="0.3">
      <c r="A191" s="9"/>
    </row>
    <row r="192" spans="1:1" x14ac:dyDescent="0.3">
      <c r="A192" s="9"/>
    </row>
    <row r="193" spans="1:1" x14ac:dyDescent="0.3">
      <c r="A193" s="9"/>
    </row>
    <row r="194" spans="1:1" x14ac:dyDescent="0.3">
      <c r="A194" s="9"/>
    </row>
    <row r="195" spans="1:1" x14ac:dyDescent="0.3">
      <c r="A195" s="9"/>
    </row>
    <row r="196" spans="1:1" x14ac:dyDescent="0.3">
      <c r="A196" s="9"/>
    </row>
    <row r="197" spans="1:1" x14ac:dyDescent="0.3">
      <c r="A197" s="9"/>
    </row>
    <row r="198" spans="1:1" x14ac:dyDescent="0.3">
      <c r="A198" s="9"/>
    </row>
    <row r="199" spans="1:1" x14ac:dyDescent="0.3">
      <c r="A199" s="9"/>
    </row>
    <row r="200" spans="1:1" x14ac:dyDescent="0.3">
      <c r="A200" s="9"/>
    </row>
    <row r="201" spans="1:1" x14ac:dyDescent="0.3">
      <c r="A201" s="9"/>
    </row>
    <row r="202" spans="1:1" x14ac:dyDescent="0.3">
      <c r="A202" s="9"/>
    </row>
    <row r="203" spans="1:1" x14ac:dyDescent="0.3">
      <c r="A203" s="9"/>
    </row>
    <row r="204" spans="1:1" x14ac:dyDescent="0.3">
      <c r="A204" s="9"/>
    </row>
    <row r="205" spans="1:1" x14ac:dyDescent="0.3">
      <c r="A205" s="9"/>
    </row>
    <row r="206" spans="1:1" x14ac:dyDescent="0.3">
      <c r="A206" s="9"/>
    </row>
    <row r="207" spans="1:1" x14ac:dyDescent="0.3">
      <c r="A207" s="9"/>
    </row>
    <row r="208" spans="1:1" x14ac:dyDescent="0.3">
      <c r="A208" s="9"/>
    </row>
    <row r="209" spans="1:55" x14ac:dyDescent="0.3">
      <c r="A209" s="9"/>
    </row>
    <row r="210" spans="1:55" x14ac:dyDescent="0.3">
      <c r="A210" s="9"/>
    </row>
    <row r="211" spans="1:55" x14ac:dyDescent="0.3">
      <c r="A211" s="9"/>
    </row>
    <row r="212" spans="1:55" x14ac:dyDescent="0.3">
      <c r="A212" s="9"/>
    </row>
    <row r="213" spans="1:55" x14ac:dyDescent="0.3">
      <c r="A213" s="9"/>
    </row>
    <row r="214" spans="1:55" x14ac:dyDescent="0.3">
      <c r="A214" s="9"/>
    </row>
    <row r="215" spans="1:55" x14ac:dyDescent="0.3">
      <c r="A215" s="9"/>
    </row>
    <row r="216" spans="1:55" x14ac:dyDescent="0.3">
      <c r="A216" s="9"/>
    </row>
    <row r="222" spans="1:55" x14ac:dyDescent="0.3">
      <c r="V222" s="5"/>
      <c r="AB222" s="449"/>
    </row>
    <row r="223" spans="1:55" x14ac:dyDescent="0.3">
      <c r="V223" s="5"/>
      <c r="AB223" s="449"/>
      <c r="AM223" s="5" t="s">
        <v>39</v>
      </c>
    </row>
    <row r="224" spans="1:55" x14ac:dyDescent="0.3">
      <c r="V224" s="5"/>
      <c r="AB224" s="449"/>
      <c r="AC224" s="449"/>
      <c r="AF224" s="449"/>
      <c r="AK224" s="26"/>
      <c r="BC224" s="5" t="b">
        <v>0</v>
      </c>
    </row>
    <row r="225" spans="22:45" x14ac:dyDescent="0.3">
      <c r="V225" s="5"/>
      <c r="AC225" s="450"/>
      <c r="AF225" s="450"/>
      <c r="AH225" s="27"/>
      <c r="AI225" s="27"/>
      <c r="AJ225" s="28"/>
      <c r="AK225" s="29"/>
      <c r="AM225" s="11">
        <f>G15+39</f>
        <v>39</v>
      </c>
      <c r="AN225" s="11"/>
      <c r="AS225" s="28"/>
    </row>
    <row r="226" spans="22:45" x14ac:dyDescent="0.3">
      <c r="V226" s="5"/>
      <c r="AC226" s="450"/>
      <c r="AF226" s="450"/>
      <c r="AJ226" s="28"/>
      <c r="AK226" s="26"/>
      <c r="AM226" s="11">
        <f>(G15+39)/2</f>
        <v>19.5</v>
      </c>
      <c r="AN226" s="11"/>
      <c r="AS226" s="28"/>
    </row>
    <row r="227" spans="22:45" x14ac:dyDescent="0.3">
      <c r="V227" s="5"/>
      <c r="AJ227" s="28"/>
      <c r="AK227" s="26"/>
      <c r="AM227" s="11"/>
      <c r="AN227" s="11"/>
      <c r="AS227" s="28"/>
    </row>
    <row r="228" spans="22:45" x14ac:dyDescent="0.3">
      <c r="V228" s="5"/>
      <c r="Y228" s="28"/>
      <c r="AB228" s="450"/>
      <c r="AJ228" s="28"/>
      <c r="AM228" s="27"/>
      <c r="AN228" s="27"/>
    </row>
    <row r="229" spans="22:45" x14ac:dyDescent="0.3">
      <c r="Y229" s="28"/>
      <c r="AB229" s="450"/>
      <c r="AJ229" s="28"/>
      <c r="AN229" s="27"/>
    </row>
    <row r="230" spans="22:45" x14ac:dyDescent="0.3">
      <c r="Y230" s="28"/>
      <c r="AB230" s="450"/>
    </row>
    <row r="231" spans="22:45" x14ac:dyDescent="0.3">
      <c r="AE231" s="451"/>
    </row>
    <row r="232" spans="22:45" x14ac:dyDescent="0.3">
      <c r="AE232" s="451"/>
    </row>
    <row r="256" spans="44:44" ht="18" x14ac:dyDescent="0.35">
      <c r="AR256" s="51" t="s">
        <v>103</v>
      </c>
    </row>
  </sheetData>
  <sheetProtection algorithmName="SHA-512" hashValue="bNFJ/cd6OrH0y/xT9xRIPQ6yRCMFQz+L0sXlsbapfN5LESiSD9sYaZWYo60akzYZH88OGRXikZqa7w6YL3Gu0g==" saltValue="ohbZGyagzlFhxlubwQUXPw==" spinCount="100000" sheet="1" selectLockedCells="1"/>
  <dataConsolidate/>
  <mergeCells count="200">
    <mergeCell ref="N46:O47"/>
    <mergeCell ref="P46:Z47"/>
    <mergeCell ref="B31:B32"/>
    <mergeCell ref="B34:B35"/>
    <mergeCell ref="C31:F31"/>
    <mergeCell ref="C32:F32"/>
    <mergeCell ref="C34:F34"/>
    <mergeCell ref="C35:F35"/>
    <mergeCell ref="G32:H32"/>
    <mergeCell ref="G34:H34"/>
    <mergeCell ref="G35:H35"/>
    <mergeCell ref="T34:V34"/>
    <mergeCell ref="T35:V35"/>
    <mergeCell ref="T31:V31"/>
    <mergeCell ref="T32:V32"/>
    <mergeCell ref="X31:Z31"/>
    <mergeCell ref="X32:Z32"/>
    <mergeCell ref="B38:E38"/>
    <mergeCell ref="N38:Z38"/>
    <mergeCell ref="J38:L38"/>
    <mergeCell ref="G38:H38"/>
    <mergeCell ref="Q34:S34"/>
    <mergeCell ref="Q35:S35"/>
    <mergeCell ref="Q31:S31"/>
    <mergeCell ref="B28:B29"/>
    <mergeCell ref="B7:B8"/>
    <mergeCell ref="B10:B11"/>
    <mergeCell ref="B13:B14"/>
    <mergeCell ref="B16:B17"/>
    <mergeCell ref="B19:B20"/>
    <mergeCell ref="B22:B23"/>
    <mergeCell ref="B25:B26"/>
    <mergeCell ref="E1:K4"/>
    <mergeCell ref="C13:F13"/>
    <mergeCell ref="C14:F14"/>
    <mergeCell ref="G16:H16"/>
    <mergeCell ref="C26:F26"/>
    <mergeCell ref="C28:F28"/>
    <mergeCell ref="C29:F29"/>
    <mergeCell ref="C22:F22"/>
    <mergeCell ref="C23:F23"/>
    <mergeCell ref="C25:F25"/>
    <mergeCell ref="C16:F16"/>
    <mergeCell ref="C17:F17"/>
    <mergeCell ref="C19:F19"/>
    <mergeCell ref="C20:F20"/>
    <mergeCell ref="I10:J10"/>
    <mergeCell ref="I11:J11"/>
    <mergeCell ref="V1:V2"/>
    <mergeCell ref="W2:Y2"/>
    <mergeCell ref="M3:P4"/>
    <mergeCell ref="C7:F7"/>
    <mergeCell ref="C8:F8"/>
    <mergeCell ref="G7:H7"/>
    <mergeCell ref="G8:H8"/>
    <mergeCell ref="I7:J7"/>
    <mergeCell ref="I8:J8"/>
    <mergeCell ref="K7:L7"/>
    <mergeCell ref="K8:L8"/>
    <mergeCell ref="M7:P7"/>
    <mergeCell ref="M8:P8"/>
    <mergeCell ref="Q7:S7"/>
    <mergeCell ref="Q8:S8"/>
    <mergeCell ref="T7:V7"/>
    <mergeCell ref="M1:P2"/>
    <mergeCell ref="T8:V8"/>
    <mergeCell ref="X7:Z7"/>
    <mergeCell ref="X8:Z8"/>
    <mergeCell ref="Q17:S17"/>
    <mergeCell ref="Q19:S19"/>
    <mergeCell ref="Q20:S20"/>
    <mergeCell ref="Q22:S22"/>
    <mergeCell ref="T10:V10"/>
    <mergeCell ref="T11:V11"/>
    <mergeCell ref="T13:V13"/>
    <mergeCell ref="T14:V14"/>
    <mergeCell ref="T16:V16"/>
    <mergeCell ref="T17:V17"/>
    <mergeCell ref="T19:V19"/>
    <mergeCell ref="T20:V20"/>
    <mergeCell ref="T22:V22"/>
    <mergeCell ref="C10:F10"/>
    <mergeCell ref="C11:F11"/>
    <mergeCell ref="G10:H10"/>
    <mergeCell ref="G11:H11"/>
    <mergeCell ref="Q10:S10"/>
    <mergeCell ref="Q11:S11"/>
    <mergeCell ref="I13:J13"/>
    <mergeCell ref="I14:J14"/>
    <mergeCell ref="I16:J16"/>
    <mergeCell ref="G13:H13"/>
    <mergeCell ref="G14:H14"/>
    <mergeCell ref="K10:L10"/>
    <mergeCell ref="K11:L11"/>
    <mergeCell ref="K13:L13"/>
    <mergeCell ref="K14:L14"/>
    <mergeCell ref="K16:L16"/>
    <mergeCell ref="M10:P10"/>
    <mergeCell ref="M11:P11"/>
    <mergeCell ref="M13:P13"/>
    <mergeCell ref="M14:P14"/>
    <mergeCell ref="M16:P16"/>
    <mergeCell ref="Q13:S13"/>
    <mergeCell ref="Q14:S14"/>
    <mergeCell ref="Q16:S16"/>
    <mergeCell ref="G29:H29"/>
    <mergeCell ref="G31:H31"/>
    <mergeCell ref="G22:H22"/>
    <mergeCell ref="G23:H23"/>
    <mergeCell ref="G25:H25"/>
    <mergeCell ref="G26:H26"/>
    <mergeCell ref="G17:H17"/>
    <mergeCell ref="G19:H19"/>
    <mergeCell ref="G20:H20"/>
    <mergeCell ref="G28:H28"/>
    <mergeCell ref="K17:L17"/>
    <mergeCell ref="K19:L19"/>
    <mergeCell ref="K20:L20"/>
    <mergeCell ref="K22:L22"/>
    <mergeCell ref="K23:L23"/>
    <mergeCell ref="M31:P31"/>
    <mergeCell ref="M32:P32"/>
    <mergeCell ref="I29:J29"/>
    <mergeCell ref="I31:J31"/>
    <mergeCell ref="I32:J32"/>
    <mergeCell ref="I25:J25"/>
    <mergeCell ref="I26:J26"/>
    <mergeCell ref="I28:J28"/>
    <mergeCell ref="M17:P17"/>
    <mergeCell ref="M19:P19"/>
    <mergeCell ref="M20:P20"/>
    <mergeCell ref="M22:P22"/>
    <mergeCell ref="I17:J17"/>
    <mergeCell ref="I19:J19"/>
    <mergeCell ref="I20:J20"/>
    <mergeCell ref="I22:J22"/>
    <mergeCell ref="I23:J23"/>
    <mergeCell ref="X26:Z26"/>
    <mergeCell ref="X28:Z28"/>
    <mergeCell ref="Q23:S23"/>
    <mergeCell ref="M29:P29"/>
    <mergeCell ref="M25:P25"/>
    <mergeCell ref="M26:P26"/>
    <mergeCell ref="M28:P28"/>
    <mergeCell ref="M23:P23"/>
    <mergeCell ref="X23:Z23"/>
    <mergeCell ref="Q26:S26"/>
    <mergeCell ref="Q28:S28"/>
    <mergeCell ref="T29:V29"/>
    <mergeCell ref="T25:V25"/>
    <mergeCell ref="T26:V26"/>
    <mergeCell ref="T28:V28"/>
    <mergeCell ref="X29:Z29"/>
    <mergeCell ref="X25:Z25"/>
    <mergeCell ref="T23:V23"/>
    <mergeCell ref="Q29:S29"/>
    <mergeCell ref="X10:Z10"/>
    <mergeCell ref="X11:Z11"/>
    <mergeCell ref="X13:Z13"/>
    <mergeCell ref="X14:Z14"/>
    <mergeCell ref="X16:Z16"/>
    <mergeCell ref="X17:Z17"/>
    <mergeCell ref="X19:Z19"/>
    <mergeCell ref="X20:Z20"/>
    <mergeCell ref="X22:Z22"/>
    <mergeCell ref="Q32:S32"/>
    <mergeCell ref="Q25:S25"/>
    <mergeCell ref="N39:Z40"/>
    <mergeCell ref="N41:Z42"/>
    <mergeCell ref="N44:O45"/>
    <mergeCell ref="P44:Z45"/>
    <mergeCell ref="G39:H40"/>
    <mergeCell ref="J39:L40"/>
    <mergeCell ref="B39:F40"/>
    <mergeCell ref="I39:I40"/>
    <mergeCell ref="X34:Z34"/>
    <mergeCell ref="X35:Z35"/>
    <mergeCell ref="I34:J34"/>
    <mergeCell ref="I35:J35"/>
    <mergeCell ref="K29:L29"/>
    <mergeCell ref="K31:L31"/>
    <mergeCell ref="K32:L32"/>
    <mergeCell ref="K25:L25"/>
    <mergeCell ref="K26:L26"/>
    <mergeCell ref="K28:L28"/>
    <mergeCell ref="M34:P34"/>
    <mergeCell ref="M35:P35"/>
    <mergeCell ref="K34:L34"/>
    <mergeCell ref="K35:L35"/>
    <mergeCell ref="A55:Z56"/>
    <mergeCell ref="N50:O51"/>
    <mergeCell ref="P50:S51"/>
    <mergeCell ref="T50:U51"/>
    <mergeCell ref="V50:Z53"/>
    <mergeCell ref="N52:O53"/>
    <mergeCell ref="P52:U53"/>
    <mergeCell ref="N48:O49"/>
    <mergeCell ref="P48:S49"/>
    <mergeCell ref="T48:U49"/>
    <mergeCell ref="V48:Z49"/>
  </mergeCells>
  <dataValidations count="10">
    <dataValidation type="list" allowBlank="1" showInputMessage="1" showErrorMessage="1" sqref="C8 C11 C14 C17 C20 C23 C26 C29 C32 C35" xr:uid="{7D2B9531-C045-4C47-87E3-CDC44A6BC10F}">
      <formula1>INDIRECT("ПрофилиMAX[профиль]")</formula1>
    </dataValidation>
    <dataValidation type="list" allowBlank="1" showInputMessage="1" showErrorMessage="1" sqref="K8 K11 K14 K17 K20 K23 K26 K29 K32 K35" xr:uid="{FE8A3B95-4A43-436D-A527-177BD4988258}">
      <formula1>стороны</formula1>
    </dataValidation>
    <dataValidation type="list" allowBlank="1" showInputMessage="1" showErrorMessage="1" sqref="T8 T11 T14 T17 T20 T23 T26 T29 T32 T35" xr:uid="{6DF919D3-9480-410E-A9D1-4A105A989EEA}">
      <formula1>петли</formula1>
    </dataValidation>
    <dataValidation type="list" allowBlank="1" showInputMessage="1" showErrorMessage="1" sqref="Q35 Q11 Q14 Q17 Q20 Q23 Q26 Q29 Q32 Q8" xr:uid="{41EC41DC-4B50-456C-A1E5-F2B3E35ABCAB}">
      <formula1>OFFSET(INDIRECT("ФурнитураMAXЦвета[[#Заголовки];[ВыборПетель]]"), AA8, 0, AB8, 1)</formula1>
    </dataValidation>
    <dataValidation type="list" allowBlank="1" showInputMessage="1" showErrorMessage="1" sqref="V1" xr:uid="{027DEE1A-058F-4998-96F9-4FB13245B9F2}">
      <formula1>"П.П.,П.К."</formula1>
    </dataValidation>
    <dataValidation type="list" allowBlank="1" showInputMessage="1" showErrorMessage="1" sqref="U1" xr:uid="{9A2A4220-929C-4877-AE87-2D864457E863}">
      <formula1>"общий, ира"</formula1>
    </dataValidation>
    <dataValidation type="decimal" allowBlank="1" showInputMessage="1" showErrorMessage="1" errorTitle="Внимание!" error="Минимальный кн-т = 1" sqref="X1" xr:uid="{F5471A8A-9001-4FD0-851C-CFEAC07093CA}">
      <formula1>1</formula1>
      <formula2>2</formula2>
    </dataValidation>
    <dataValidation type="list" allowBlank="1" showInputMessage="1" showErrorMessage="1" sqref="M8:P8 M11:P11 M14:P14 M17:P17 M20:P20 M23:P23 M26:P26 M29:P29 M32:P32 M35:P35" xr:uid="{249FE789-6AE7-4850-80A0-F8532F0078EF}">
      <formula1>INDIRECT("Вставки[вставка]")</formula1>
    </dataValidation>
    <dataValidation type="whole" allowBlank="1" showInputMessage="1" showErrorMessage="1" error="Смотри ограничения_x000a_Только целое число" sqref="G8:H8 G11:H11 G14:H14 G17:H17 G20:H20 G23:H23 G26:H26 G29:H29 G32:H32 G35:H35" xr:uid="{218786FC-D883-44BD-AB1B-B7BFB805224B}">
      <formula1>0</formula1>
      <formula2>2600</formula2>
    </dataValidation>
    <dataValidation type="whole" allowBlank="1" showInputMessage="1" showErrorMessage="1" error="Смотри ограничения_x000a_Только целое число" sqref="I8:J8 I11:J11 I14:J14 I17:J17 I20:J20 I23:J23 I26:J26 I29:J29 I32:J32 I35:J35" xr:uid="{20A35098-8E72-4071-95A1-F075644D2A9C}">
      <formula1>300</formula1>
      <formula2>600</formula2>
    </dataValidation>
  </dataValidations>
  <printOptions horizontalCentered="1"/>
  <pageMargins left="0.70866141732283472" right="0.39370078740157483" top="0.39370078740157483" bottom="0.39370078740157483" header="0" footer="0"/>
  <pageSetup paperSize="9" scale="4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theme="3" tint="0.39997558519241921"/>
    <outlinePr summaryRight="0"/>
    <pageSetUpPr fitToPage="1"/>
  </sheetPr>
  <dimension ref="A1:AR57"/>
  <sheetViews>
    <sheetView showGridLines="0" zoomScaleNormal="100" workbookViewId="0">
      <selection activeCell="C7" sqref="C7"/>
    </sheetView>
  </sheetViews>
  <sheetFormatPr defaultColWidth="9.109375" defaultRowHeight="14.4" outlineLevelCol="1" x14ac:dyDescent="0.3"/>
  <cols>
    <col min="1" max="1" width="3.44140625" style="15" customWidth="1"/>
    <col min="2" max="2" width="20.109375" style="15" customWidth="1"/>
    <col min="3" max="3" width="17" style="15" customWidth="1"/>
    <col min="4" max="4" width="22" style="15" customWidth="1"/>
    <col min="5" max="5" width="3.6640625" style="15" customWidth="1"/>
    <col min="6" max="6" width="17.5546875" style="15" customWidth="1"/>
    <col min="7" max="7" width="22.109375" style="15" customWidth="1"/>
    <col min="8" max="8" width="4" style="15" customWidth="1"/>
    <col min="9" max="9" width="3.33203125" style="15" customWidth="1"/>
    <col min="10" max="10" width="11.6640625" style="15" customWidth="1"/>
    <col min="11" max="11" width="18.88671875" style="15" customWidth="1"/>
    <col min="12" max="12" width="11.33203125" style="15" customWidth="1"/>
    <col min="13" max="20" width="9.109375" style="15"/>
    <col min="21" max="21" width="9.109375" style="15" collapsed="1"/>
    <col min="22" max="23" width="9.109375" style="15" hidden="1" customWidth="1" outlineLevel="1"/>
    <col min="24" max="25" width="28.44140625" style="15" hidden="1" customWidth="1" outlineLevel="1"/>
    <col min="26" max="26" width="32" style="15" hidden="1" customWidth="1" outlineLevel="1"/>
    <col min="27" max="27" width="9.109375" style="15" hidden="1" customWidth="1" outlineLevel="1"/>
    <col min="28" max="28" width="13.6640625" style="15" hidden="1" customWidth="1" outlineLevel="1"/>
    <col min="29" max="33" width="9.33203125" style="15" hidden="1" customWidth="1" outlineLevel="1"/>
    <col min="34" max="34" width="9.109375" style="15" hidden="1" customWidth="1" outlineLevel="1"/>
    <col min="35" max="36" width="11.109375" style="15" hidden="1" customWidth="1" outlineLevel="1"/>
    <col min="37" max="37" width="17.88671875" style="15" hidden="1" customWidth="1" outlineLevel="1"/>
    <col min="38" max="38" width="17.44140625" style="15" hidden="1" customWidth="1" outlineLevel="1"/>
    <col min="39" max="39" width="42.33203125" style="15" hidden="1" customWidth="1" outlineLevel="1"/>
    <col min="40" max="40" width="36.33203125" style="15" hidden="1" customWidth="1" outlineLevel="1"/>
    <col min="41" max="43" width="9.109375" style="15" customWidth="1"/>
    <col min="44" max="16384" width="9.109375" style="15"/>
  </cols>
  <sheetData>
    <row r="1" spans="1:40" ht="15" customHeight="1" thickBot="1" x14ac:dyDescent="0.4">
      <c r="A1" s="91"/>
      <c r="B1" s="2"/>
      <c r="C1" s="3"/>
      <c r="D1" s="585" t="s">
        <v>47</v>
      </c>
      <c r="E1" s="586"/>
      <c r="F1" s="586"/>
      <c r="G1" s="586"/>
      <c r="H1" s="586"/>
      <c r="I1" s="587"/>
      <c r="J1" s="4"/>
      <c r="K1" s="384" t="str">
        <f>'Фасады EDGE'!U1</f>
        <v>ира</v>
      </c>
      <c r="M1" s="208"/>
      <c r="N1" s="209">
        <v>1</v>
      </c>
      <c r="O1" s="581" t="s">
        <v>46</v>
      </c>
      <c r="P1" s="582"/>
      <c r="Q1" s="582"/>
      <c r="R1" s="582"/>
      <c r="S1" s="582"/>
      <c r="T1" s="583"/>
      <c r="W1" s="15" t="e">
        <f>VLOOKUP(C7,V2:W4,2,FALSE)</f>
        <v>#N/A</v>
      </c>
    </row>
    <row r="2" spans="1:40" x14ac:dyDescent="0.3">
      <c r="A2" s="92"/>
      <c r="B2" s="7"/>
      <c r="C2" s="8"/>
      <c r="D2" s="588"/>
      <c r="E2" s="589"/>
      <c r="F2" s="589"/>
      <c r="G2" s="589"/>
      <c r="H2" s="589"/>
      <c r="I2" s="590"/>
      <c r="J2" s="9" t="s">
        <v>36</v>
      </c>
      <c r="K2" s="5"/>
      <c r="L2" s="595">
        <f>MAX(Изменения[Дата])</f>
        <v>45160</v>
      </c>
      <c r="M2" s="595"/>
      <c r="N2" s="596"/>
      <c r="O2" s="30" t="s">
        <v>139</v>
      </c>
      <c r="P2" s="24"/>
      <c r="Q2" s="24"/>
      <c r="R2" s="5"/>
      <c r="S2" s="5"/>
      <c r="T2" s="93"/>
      <c r="V2" s="15" t="s">
        <v>45</v>
      </c>
      <c r="W2" s="15" t="s">
        <v>44</v>
      </c>
      <c r="X2" s="15" t="s">
        <v>112</v>
      </c>
      <c r="Y2" s="5" t="s">
        <v>276</v>
      </c>
      <c r="AA2" s="15" t="e">
        <f>VLOOKUP(B14,Z3:AA5,2,FALSE)</f>
        <v>#N/A</v>
      </c>
      <c r="AB2" s="15" t="s">
        <v>113</v>
      </c>
      <c r="AC2" s="138">
        <f>IF(B14=Z4,VLOOKUP(C14,AB3:AC10,2,FALSE),0)</f>
        <v>0</v>
      </c>
      <c r="AD2" s="112" t="s">
        <v>150</v>
      </c>
      <c r="AE2" s="112" t="s">
        <v>52</v>
      </c>
      <c r="AF2" s="112" t="s">
        <v>53</v>
      </c>
      <c r="AG2" s="112" t="s">
        <v>54</v>
      </c>
      <c r="AJ2" s="15" t="str">
        <f>IF(AC2&lt;801,AK4,IF(AC2&lt;1500,AK5,IF(AC2&lt;3000,AK6,IF(AC2&lt;5000,AK7,IF(AC2&gt;5000,AK7,0)))))</f>
        <v>8 w</v>
      </c>
      <c r="AN2" s="15" t="s">
        <v>319</v>
      </c>
    </row>
    <row r="3" spans="1:40" x14ac:dyDescent="0.3">
      <c r="A3" s="92"/>
      <c r="B3" s="7"/>
      <c r="C3" s="8"/>
      <c r="D3" s="588"/>
      <c r="E3" s="589"/>
      <c r="F3" s="589"/>
      <c r="G3" s="589"/>
      <c r="H3" s="589"/>
      <c r="I3" s="590"/>
      <c r="J3" s="5" t="s">
        <v>10</v>
      </c>
      <c r="K3" s="5"/>
      <c r="L3" s="381" t="s">
        <v>11</v>
      </c>
      <c r="M3" s="382" t="s">
        <v>37</v>
      </c>
      <c r="N3" s="5" t="s">
        <v>595</v>
      </c>
      <c r="O3" s="30" t="s">
        <v>140</v>
      </c>
      <c r="P3" s="24"/>
      <c r="Q3" s="24"/>
      <c r="R3" s="5"/>
      <c r="S3" s="5"/>
      <c r="T3" s="93"/>
      <c r="V3" s="15" t="s">
        <v>114</v>
      </c>
      <c r="W3" s="15" t="s">
        <v>43</v>
      </c>
      <c r="X3" s="15" t="s">
        <v>157</v>
      </c>
      <c r="Y3" s="5" t="s">
        <v>148</v>
      </c>
      <c r="Z3" s="15" t="s">
        <v>143</v>
      </c>
      <c r="AA3" s="15" t="s">
        <v>274</v>
      </c>
      <c r="AB3" s="15" t="s">
        <v>55</v>
      </c>
      <c r="AC3" s="138">
        <f>(C11-30)/1000</f>
        <v>-0.03</v>
      </c>
      <c r="AD3" s="112">
        <f>0*$G$30</f>
        <v>0</v>
      </c>
      <c r="AE3" s="112">
        <f>0*$G$30</f>
        <v>0</v>
      </c>
      <c r="AF3" s="112">
        <f>1*$G$30</f>
        <v>0</v>
      </c>
      <c r="AG3" s="112">
        <f>0*$G$30</f>
        <v>0</v>
      </c>
      <c r="AI3" s="94"/>
      <c r="AK3" s="15" t="s">
        <v>65</v>
      </c>
      <c r="AL3" s="15" t="s">
        <v>60</v>
      </c>
      <c r="AM3" s="15" t="s">
        <v>66</v>
      </c>
      <c r="AN3" s="15" t="s">
        <v>320</v>
      </c>
    </row>
    <row r="4" spans="1:40" x14ac:dyDescent="0.3">
      <c r="A4" s="92"/>
      <c r="B4" s="12"/>
      <c r="C4" s="13"/>
      <c r="D4" s="591"/>
      <c r="E4" s="592"/>
      <c r="F4" s="592"/>
      <c r="G4" s="592"/>
      <c r="H4" s="592"/>
      <c r="I4" s="593"/>
      <c r="J4" s="9" t="s">
        <v>12</v>
      </c>
      <c r="K4" s="9"/>
      <c r="L4" s="381" t="s">
        <v>11</v>
      </c>
      <c r="M4" s="382" t="s">
        <v>37</v>
      </c>
      <c r="N4" s="5" t="s">
        <v>595</v>
      </c>
      <c r="O4" s="30" t="s">
        <v>141</v>
      </c>
      <c r="P4" s="16"/>
      <c r="Q4" s="5"/>
      <c r="R4" s="5"/>
      <c r="S4" s="5"/>
      <c r="T4" s="93"/>
      <c r="V4" s="15" t="s">
        <v>312</v>
      </c>
      <c r="W4" s="15" t="s">
        <v>311</v>
      </c>
      <c r="X4" s="5" t="s">
        <v>158</v>
      </c>
      <c r="Y4" s="5" t="s">
        <v>81</v>
      </c>
      <c r="Z4" s="15" t="s">
        <v>205</v>
      </c>
      <c r="AA4" s="15" t="s">
        <v>275</v>
      </c>
      <c r="AB4" s="15" t="s">
        <v>56</v>
      </c>
      <c r="AC4" s="138">
        <f>((C11-30)*G30)/1000</f>
        <v>0</v>
      </c>
      <c r="AD4" s="112">
        <f>0*$G$30</f>
        <v>0</v>
      </c>
      <c r="AE4" s="112">
        <f>0*$G$30</f>
        <v>0</v>
      </c>
      <c r="AF4" s="112">
        <f>0*$G$30</f>
        <v>0</v>
      </c>
      <c r="AG4" s="112">
        <f>1*$G$30</f>
        <v>0</v>
      </c>
      <c r="AI4" s="94"/>
      <c r="AK4" s="15" t="s">
        <v>63</v>
      </c>
      <c r="AL4" s="95">
        <v>13070012</v>
      </c>
      <c r="AM4" s="15">
        <v>13340001</v>
      </c>
      <c r="AN4" s="15" t="s">
        <v>42</v>
      </c>
    </row>
    <row r="5" spans="1:40" x14ac:dyDescent="0.3">
      <c r="A5" s="92"/>
      <c r="M5" s="383"/>
      <c r="O5" s="96" t="s">
        <v>147</v>
      </c>
      <c r="P5" s="24"/>
      <c r="Q5" s="5"/>
      <c r="R5" s="5"/>
      <c r="S5" s="5"/>
      <c r="T5" s="93"/>
      <c r="X5" s="5" t="s">
        <v>302</v>
      </c>
      <c r="Y5" s="5" t="s">
        <v>303</v>
      </c>
      <c r="Z5" s="15" t="s">
        <v>144</v>
      </c>
      <c r="AA5" s="15" t="s">
        <v>275</v>
      </c>
      <c r="AB5" s="15" t="s">
        <v>104</v>
      </c>
      <c r="AC5" s="138">
        <f>((C9-20)*G30)/1000</f>
        <v>0</v>
      </c>
      <c r="AD5" s="112">
        <f>1*$G$30</f>
        <v>0</v>
      </c>
      <c r="AE5" s="112">
        <f>0*$G$30</f>
        <v>0</v>
      </c>
      <c r="AF5" s="112">
        <f>0*$G$30</f>
        <v>0</v>
      </c>
      <c r="AG5" s="112">
        <f>0*$G$30</f>
        <v>0</v>
      </c>
      <c r="AK5" s="15" t="s">
        <v>62</v>
      </c>
      <c r="AL5" s="95" t="s">
        <v>192</v>
      </c>
    </row>
    <row r="6" spans="1:40" ht="15.75" customHeight="1" x14ac:dyDescent="0.45">
      <c r="A6" s="92"/>
      <c r="B6" s="37"/>
      <c r="C6" s="37"/>
      <c r="D6" s="37"/>
      <c r="E6" s="37"/>
      <c r="F6" s="37"/>
      <c r="G6" s="37"/>
      <c r="H6" s="37"/>
      <c r="I6" s="37"/>
      <c r="J6" s="37"/>
      <c r="O6" s="30" t="s">
        <v>142</v>
      </c>
      <c r="P6" s="24"/>
      <c r="Q6" s="5"/>
      <c r="R6" s="5"/>
      <c r="S6" s="5"/>
      <c r="T6" s="93"/>
      <c r="X6" s="5" t="s">
        <v>160</v>
      </c>
      <c r="Y6" s="5" t="s">
        <v>83</v>
      </c>
      <c r="AB6" s="15" t="s">
        <v>105</v>
      </c>
      <c r="AC6" s="138">
        <f>(((C9-20)+(C11-30))*G30)/1000</f>
        <v>0</v>
      </c>
      <c r="AD6" s="112">
        <f>1*$G$30</f>
        <v>0</v>
      </c>
      <c r="AE6" s="112">
        <f>0*$G$30</f>
        <v>0</v>
      </c>
      <c r="AF6" s="112">
        <f>1*$G$30</f>
        <v>0</v>
      </c>
      <c r="AG6" s="112">
        <f>0*$G$30</f>
        <v>0</v>
      </c>
      <c r="AK6" s="15" t="s">
        <v>61</v>
      </c>
      <c r="AL6" s="95">
        <v>13070039</v>
      </c>
    </row>
    <row r="7" spans="1:40" ht="15" customHeight="1" x14ac:dyDescent="0.45">
      <c r="A7" s="92"/>
      <c r="B7" s="97" t="s">
        <v>0</v>
      </c>
      <c r="C7" s="210"/>
      <c r="D7" s="37"/>
      <c r="E7" s="37"/>
      <c r="F7" s="37"/>
      <c r="G7" s="37"/>
      <c r="H7" s="37"/>
      <c r="I7" s="37"/>
      <c r="J7" s="37"/>
      <c r="O7" s="30" t="s">
        <v>145</v>
      </c>
      <c r="P7" s="24"/>
      <c r="Q7" s="5"/>
      <c r="R7" s="5"/>
      <c r="S7" s="5"/>
      <c r="T7" s="93"/>
      <c r="X7" s="5" t="s">
        <v>161</v>
      </c>
      <c r="Y7" s="5" t="s">
        <v>84</v>
      </c>
      <c r="AB7" s="15" t="s">
        <v>106</v>
      </c>
      <c r="AC7" s="138">
        <f>((C9-20+C11-30)*G30)/1000</f>
        <v>0</v>
      </c>
      <c r="AD7" s="112">
        <f>1*$G$30</f>
        <v>0</v>
      </c>
      <c r="AE7" s="112">
        <f>0*$G$30</f>
        <v>0</v>
      </c>
      <c r="AF7" s="112">
        <f>0*$G$30</f>
        <v>0</v>
      </c>
      <c r="AG7" s="112">
        <f>1*$G$30</f>
        <v>0</v>
      </c>
      <c r="AK7" s="15" t="s">
        <v>64</v>
      </c>
      <c r="AL7" s="95">
        <v>13070060</v>
      </c>
    </row>
    <row r="8" spans="1:40" ht="15" customHeight="1" x14ac:dyDescent="0.45">
      <c r="A8" s="92"/>
      <c r="B8" s="37"/>
      <c r="C8" s="38" t="s">
        <v>57</v>
      </c>
      <c r="D8" s="37"/>
      <c r="E8" s="37"/>
      <c r="F8" s="37"/>
      <c r="G8" s="37"/>
      <c r="H8" s="37"/>
      <c r="I8" s="37"/>
      <c r="J8" s="37"/>
      <c r="O8" s="30" t="s">
        <v>146</v>
      </c>
      <c r="P8" s="24"/>
      <c r="Q8" s="5"/>
      <c r="R8" s="5"/>
      <c r="S8" s="5"/>
      <c r="T8" s="93"/>
      <c r="X8" s="5" t="s">
        <v>164</v>
      </c>
      <c r="Y8" s="5" t="s">
        <v>99</v>
      </c>
      <c r="AB8" s="15" t="s">
        <v>107</v>
      </c>
      <c r="AC8" s="138">
        <f>((C11-30+C11-30)*G30)/1000</f>
        <v>0</v>
      </c>
      <c r="AD8" s="112">
        <f>0*$G$30</f>
        <v>0</v>
      </c>
      <c r="AE8" s="112">
        <f>0*$G$30</f>
        <v>0</v>
      </c>
      <c r="AF8" s="112">
        <f>1*$G$30</f>
        <v>0</v>
      </c>
      <c r="AG8" s="112">
        <f>1*$G$30</f>
        <v>0</v>
      </c>
      <c r="AK8" s="15" t="s">
        <v>184</v>
      </c>
      <c r="AL8" s="15" t="s">
        <v>185</v>
      </c>
    </row>
    <row r="9" spans="1:40" ht="15" customHeight="1" thickBot="1" x14ac:dyDescent="0.5">
      <c r="A9" s="92"/>
      <c r="B9" s="97" t="s">
        <v>101</v>
      </c>
      <c r="C9" s="379"/>
      <c r="D9" s="37"/>
      <c r="E9" s="37"/>
      <c r="F9" s="37"/>
      <c r="G9" s="37"/>
      <c r="H9" s="37"/>
      <c r="I9" s="37"/>
      <c r="J9" s="37"/>
      <c r="O9" s="33"/>
      <c r="P9" s="34"/>
      <c r="Q9" s="35"/>
      <c r="R9" s="35"/>
      <c r="S9" s="35"/>
      <c r="T9" s="98"/>
      <c r="X9" s="5" t="s">
        <v>162</v>
      </c>
      <c r="Y9" s="5" t="s">
        <v>85</v>
      </c>
      <c r="AB9" s="15" t="s">
        <v>108</v>
      </c>
      <c r="AC9" s="138">
        <f>((C9-20+C11-30+C11-30)*G30)/1000</f>
        <v>0</v>
      </c>
      <c r="AD9" s="112">
        <f>1*$G$30</f>
        <v>0</v>
      </c>
      <c r="AE9" s="112">
        <f>0*$G$30</f>
        <v>0</v>
      </c>
      <c r="AF9" s="112">
        <f>1*$G$30</f>
        <v>0</v>
      </c>
      <c r="AG9" s="112">
        <f>1*$G$30</f>
        <v>0</v>
      </c>
    </row>
    <row r="10" spans="1:40" ht="15" customHeight="1" x14ac:dyDescent="0.45">
      <c r="A10" s="92"/>
      <c r="C10" s="38" t="s">
        <v>58</v>
      </c>
      <c r="D10" s="37"/>
      <c r="E10" s="37"/>
      <c r="F10" s="37"/>
      <c r="G10" s="37"/>
      <c r="H10" s="37"/>
      <c r="I10" s="37"/>
      <c r="J10" s="37"/>
      <c r="N10" s="99"/>
      <c r="X10" s="5" t="s">
        <v>163</v>
      </c>
      <c r="Y10" s="5" t="s">
        <v>86</v>
      </c>
      <c r="AB10" s="15" t="s">
        <v>109</v>
      </c>
      <c r="AC10" s="138">
        <f>((C9-20+C11-30+C9-20+C11-30)*G30)/1000</f>
        <v>0</v>
      </c>
      <c r="AD10" s="112">
        <f>1*$G$30</f>
        <v>0</v>
      </c>
      <c r="AE10" s="112">
        <f>1*$G$30</f>
        <v>0</v>
      </c>
      <c r="AF10" s="112">
        <f>1*$G$30</f>
        <v>0</v>
      </c>
      <c r="AG10" s="112">
        <f>1*$G$30</f>
        <v>0</v>
      </c>
    </row>
    <row r="11" spans="1:40" ht="15" customHeight="1" x14ac:dyDescent="0.45">
      <c r="A11" s="92"/>
      <c r="B11" s="97" t="s">
        <v>102</v>
      </c>
      <c r="C11" s="379"/>
      <c r="D11" s="37"/>
      <c r="E11" s="37"/>
      <c r="F11" s="37"/>
      <c r="G11" s="37"/>
      <c r="H11" s="37"/>
      <c r="I11" s="37"/>
      <c r="J11" s="37"/>
      <c r="N11" s="99"/>
      <c r="AB11" s="15">
        <v>0</v>
      </c>
      <c r="AD11" s="112">
        <f>0*$G$30</f>
        <v>0</v>
      </c>
      <c r="AE11" s="112">
        <f>0*$G$30</f>
        <v>0</v>
      </c>
      <c r="AF11" s="112">
        <f>0*$G$30</f>
        <v>0</v>
      </c>
      <c r="AG11" s="112">
        <f>0*$G$30</f>
        <v>0</v>
      </c>
    </row>
    <row r="12" spans="1:40" ht="23.4" x14ac:dyDescent="0.45">
      <c r="A12" s="92"/>
      <c r="F12" s="37"/>
      <c r="N12" s="99"/>
      <c r="X12" s="15" t="s">
        <v>112</v>
      </c>
      <c r="Y12" s="5"/>
    </row>
    <row r="13" spans="1:40" ht="20.25" customHeight="1" x14ac:dyDescent="0.45">
      <c r="A13" s="89"/>
      <c r="B13" s="100" t="s">
        <v>49</v>
      </c>
      <c r="C13" s="100" t="s">
        <v>48</v>
      </c>
      <c r="D13" s="100" t="s">
        <v>318</v>
      </c>
      <c r="E13" s="602" t="s">
        <v>50</v>
      </c>
      <c r="F13" s="602"/>
      <c r="G13" s="322" t="s">
        <v>411</v>
      </c>
      <c r="H13" s="126" t="s">
        <v>116</v>
      </c>
      <c r="I13" s="126"/>
      <c r="J13" s="126"/>
      <c r="K13" s="584" t="s">
        <v>284</v>
      </c>
      <c r="L13" s="584"/>
      <c r="N13" s="99"/>
      <c r="O13" s="125"/>
      <c r="P13" s="125"/>
      <c r="Q13" s="125"/>
      <c r="S13" s="125"/>
      <c r="X13" s="15" t="s">
        <v>157</v>
      </c>
      <c r="Y13" s="5"/>
    </row>
    <row r="14" spans="1:40" ht="29.25" customHeight="1" x14ac:dyDescent="0.45">
      <c r="A14" s="89"/>
      <c r="B14" s="316"/>
      <c r="C14" s="211"/>
      <c r="D14" s="252"/>
      <c r="E14" s="597"/>
      <c r="F14" s="598"/>
      <c r="G14" s="317"/>
      <c r="H14" s="599"/>
      <c r="I14" s="600"/>
      <c r="J14" s="601"/>
      <c r="N14" s="99"/>
      <c r="O14" s="125"/>
      <c r="P14" s="125"/>
      <c r="Q14" s="137"/>
      <c r="S14" s="125"/>
      <c r="X14" s="5" t="s">
        <v>158</v>
      </c>
      <c r="Y14" s="5"/>
    </row>
    <row r="15" spans="1:40" ht="15" customHeight="1" x14ac:dyDescent="0.45">
      <c r="A15" s="89"/>
      <c r="B15" s="558"/>
      <c r="C15" s="558"/>
      <c r="D15" s="558"/>
      <c r="E15" s="109" t="s">
        <v>180</v>
      </c>
      <c r="F15" s="110"/>
      <c r="G15" s="110"/>
      <c r="N15" s="99"/>
      <c r="X15" s="5" t="s">
        <v>160</v>
      </c>
    </row>
    <row r="16" spans="1:40" ht="17.25" customHeight="1" x14ac:dyDescent="0.3">
      <c r="A16" s="92"/>
      <c r="B16" s="558"/>
      <c r="C16" s="558"/>
      <c r="D16" s="558"/>
      <c r="E16" s="101" t="s">
        <v>51</v>
      </c>
      <c r="F16" s="364"/>
      <c r="H16" s="5"/>
      <c r="N16" s="99"/>
      <c r="X16" s="5" t="s">
        <v>161</v>
      </c>
      <c r="Z16" s="112"/>
      <c r="AE16" s="117"/>
      <c r="AF16" s="117"/>
      <c r="AG16" s="117"/>
      <c r="AH16" s="112"/>
    </row>
    <row r="17" spans="1:44" x14ac:dyDescent="0.3">
      <c r="A17" s="92"/>
      <c r="B17" s="558"/>
      <c r="C17" s="558"/>
      <c r="D17" s="558"/>
      <c r="E17" s="101" t="s">
        <v>53</v>
      </c>
      <c r="F17" s="364"/>
      <c r="N17" s="99"/>
      <c r="X17" s="5" t="s">
        <v>164</v>
      </c>
    </row>
    <row r="18" spans="1:44" x14ac:dyDescent="0.3">
      <c r="A18" s="92"/>
      <c r="B18" s="558"/>
      <c r="C18" s="558"/>
      <c r="D18" s="558"/>
      <c r="E18" s="101" t="s">
        <v>52</v>
      </c>
      <c r="F18" s="364"/>
      <c r="N18" s="99"/>
      <c r="X18" s="5" t="s">
        <v>162</v>
      </c>
    </row>
    <row r="19" spans="1:44" x14ac:dyDescent="0.3">
      <c r="A19" s="92"/>
      <c r="B19" s="558"/>
      <c r="C19" s="558"/>
      <c r="D19" s="558"/>
      <c r="E19" s="101" t="s">
        <v>54</v>
      </c>
      <c r="F19" s="364"/>
      <c r="G19" s="102" t="s">
        <v>286</v>
      </c>
      <c r="N19" s="99"/>
      <c r="X19" s="5" t="s">
        <v>163</v>
      </c>
    </row>
    <row r="20" spans="1:44" x14ac:dyDescent="0.3">
      <c r="A20" s="92"/>
      <c r="B20" s="558"/>
      <c r="C20" s="558"/>
      <c r="D20" s="558"/>
      <c r="G20" s="168"/>
      <c r="N20" s="99"/>
    </row>
    <row r="21" spans="1:44" ht="15" customHeight="1" x14ac:dyDescent="0.3">
      <c r="A21" s="92"/>
      <c r="B21" s="558"/>
      <c r="C21" s="558"/>
      <c r="D21" s="558"/>
      <c r="N21" s="99"/>
    </row>
    <row r="22" spans="1:44" ht="15" customHeight="1" x14ac:dyDescent="0.3">
      <c r="A22" s="92"/>
      <c r="B22" s="558"/>
      <c r="C22" s="558"/>
      <c r="D22" s="558"/>
      <c r="E22" s="109" t="s">
        <v>181</v>
      </c>
      <c r="F22" s="108"/>
      <c r="G22" s="108"/>
      <c r="N22" s="99"/>
    </row>
    <row r="23" spans="1:44" x14ac:dyDescent="0.3">
      <c r="A23" s="92"/>
      <c r="B23" s="558"/>
      <c r="C23" s="558"/>
      <c r="D23" s="558"/>
      <c r="E23" s="101" t="s">
        <v>51</v>
      </c>
      <c r="F23" s="362"/>
      <c r="N23" s="99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</row>
    <row r="24" spans="1:44" x14ac:dyDescent="0.3">
      <c r="A24" s="92"/>
      <c r="B24" s="558"/>
      <c r="C24" s="558"/>
      <c r="D24" s="558"/>
      <c r="E24" s="101" t="s">
        <v>53</v>
      </c>
      <c r="F24" s="362"/>
      <c r="N24" s="99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</row>
    <row r="25" spans="1:44" x14ac:dyDescent="0.3">
      <c r="A25" s="92"/>
      <c r="B25" s="558"/>
      <c r="C25" s="558"/>
      <c r="D25" s="558"/>
      <c r="E25" s="101" t="s">
        <v>52</v>
      </c>
      <c r="F25" s="362"/>
      <c r="N25" s="99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</row>
    <row r="26" spans="1:44" ht="14.4" customHeight="1" x14ac:dyDescent="0.3">
      <c r="A26" s="92"/>
      <c r="B26" s="552"/>
      <c r="C26" s="552"/>
      <c r="D26" s="552"/>
      <c r="E26" s="103" t="s">
        <v>54</v>
      </c>
      <c r="F26" s="363"/>
      <c r="G26" s="314" t="s">
        <v>285</v>
      </c>
      <c r="H26" s="315"/>
      <c r="N26" s="99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</row>
    <row r="27" spans="1:44" ht="23.4" x14ac:dyDescent="0.45">
      <c r="A27" s="92"/>
      <c r="B27" s="594" t="s">
        <v>13</v>
      </c>
      <c r="C27" s="594"/>
      <c r="D27" s="594"/>
      <c r="E27" s="594"/>
      <c r="F27" s="594"/>
      <c r="G27" s="594"/>
      <c r="H27" s="594"/>
      <c r="I27" s="594"/>
      <c r="J27" s="594"/>
      <c r="N27" s="99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</row>
    <row r="28" spans="1:44" ht="18.75" customHeight="1" x14ac:dyDescent="0.35">
      <c r="A28" s="553" t="s">
        <v>721</v>
      </c>
      <c r="B28" s="554"/>
      <c r="C28" s="554"/>
      <c r="D28" s="554"/>
      <c r="E28" s="554"/>
      <c r="F28" s="554"/>
      <c r="G28" s="554"/>
      <c r="H28" s="554"/>
      <c r="I28" s="554"/>
      <c r="J28" s="555"/>
      <c r="N28" s="99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</row>
    <row r="29" spans="1:44" x14ac:dyDescent="0.3">
      <c r="A29" s="463" t="s">
        <v>115</v>
      </c>
      <c r="B29" s="552" t="s">
        <v>2</v>
      </c>
      <c r="C29" s="552"/>
      <c r="D29" s="547" t="s">
        <v>50</v>
      </c>
      <c r="E29" s="549"/>
      <c r="F29" s="461" t="s">
        <v>6</v>
      </c>
      <c r="G29" s="461" t="s">
        <v>8</v>
      </c>
      <c r="H29" s="547" t="s">
        <v>119</v>
      </c>
      <c r="I29" s="548"/>
      <c r="J29" s="549"/>
      <c r="N29" s="99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</row>
    <row r="30" spans="1:44" ht="18.75" customHeight="1" x14ac:dyDescent="0.3">
      <c r="A30" s="6">
        <v>1</v>
      </c>
      <c r="B30" s="556">
        <f>B14</f>
        <v>0</v>
      </c>
      <c r="C30" s="556"/>
      <c r="D30" s="551" t="str">
        <f>IF(E14="", "Без наполнения", E14)</f>
        <v>Без наполнения</v>
      </c>
      <c r="E30" s="551"/>
      <c r="F30" s="323" t="e">
        <f>'Расчет полки'!J31*N1</f>
        <v>#N/A</v>
      </c>
      <c r="G30" s="365"/>
      <c r="H30" s="550">
        <f>IFERROR(F30*G30,0)</f>
        <v>0</v>
      </c>
      <c r="I30" s="551"/>
      <c r="J30" s="551"/>
      <c r="N30" s="99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</row>
    <row r="31" spans="1:44" ht="18.600000000000001" customHeight="1" x14ac:dyDescent="0.35">
      <c r="A31" s="563" t="s">
        <v>59</v>
      </c>
      <c r="B31" s="563"/>
      <c r="C31" s="563"/>
      <c r="D31" s="563"/>
      <c r="E31" s="563"/>
      <c r="F31" s="563"/>
      <c r="G31" s="563"/>
      <c r="H31" s="563"/>
      <c r="I31" s="563"/>
      <c r="J31" s="563"/>
      <c r="N31" s="99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</row>
    <row r="32" spans="1:44" ht="15" customHeight="1" x14ac:dyDescent="0.3">
      <c r="A32" s="52">
        <v>1</v>
      </c>
      <c r="B32" s="104" t="s">
        <v>450</v>
      </c>
      <c r="C32" s="52"/>
      <c r="D32" s="558" t="e">
        <f>INDEX(БДСветодиоды[арт],MATCH($H$14,БДСветодиоды[Светодиоды],0))</f>
        <v>#N/A</v>
      </c>
      <c r="E32" s="558"/>
      <c r="F32" s="127">
        <f>IFERROR(VLOOKUP(D32,Ред!B:E,4,FALSE)*N1,0)</f>
        <v>0</v>
      </c>
      <c r="G32" s="139">
        <f>IFERROR(IF(G14=БД!AJ2,0,ROUNDUP(VLOOKUP($C$14,$AB$3:$AC$10,2,FALSE),0)),0)</f>
        <v>0</v>
      </c>
      <c r="H32" s="559">
        <f>IFERROR(F32*G32,0)</f>
        <v>0</v>
      </c>
      <c r="I32" s="559"/>
      <c r="J32" s="559"/>
      <c r="M32" s="462" t="s">
        <v>722</v>
      </c>
      <c r="N32" s="467">
        <f>IFERROR(ROUNDUP(R32*G32*1.2,0),0)</f>
        <v>0</v>
      </c>
      <c r="Q32" s="465" t="s">
        <v>723</v>
      </c>
      <c r="R32" s="466" t="e">
        <f>INDEX(БДСветодиоды[Потребление],MATCH($D$32,БДСветодиоды[арт],0))</f>
        <v>#N/A</v>
      </c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</row>
    <row r="33" spans="1:44" ht="15" customHeight="1" x14ac:dyDescent="0.3">
      <c r="A33" s="52">
        <v>2</v>
      </c>
      <c r="B33" s="104" t="s">
        <v>110</v>
      </c>
      <c r="C33" s="212"/>
      <c r="D33" s="558" t="str">
        <f>IFERROR(VLOOKUP(C33,БД!AM3:AN6,2,FALSE),"")</f>
        <v/>
      </c>
      <c r="E33" s="558"/>
      <c r="F33" s="127">
        <f>IFERROR(VLOOKUP(D33,Ред!B:E,4,FALSE)*$N$1,0)</f>
        <v>0</v>
      </c>
      <c r="G33" s="460"/>
      <c r="H33" s="559">
        <f>IFERROR(F33*G33,0)</f>
        <v>0</v>
      </c>
      <c r="I33" s="558"/>
      <c r="J33" s="558"/>
      <c r="N33" s="99"/>
      <c r="P33" s="125"/>
      <c r="Q33" s="465" t="s">
        <v>725</v>
      </c>
      <c r="R33" s="466" t="e">
        <f>INDEX(БДБлокиПит[Ватт], MATCH(C33, БДБлокиПит[Блоки питания GLS], 0)) * G33</f>
        <v>#N/A</v>
      </c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</row>
    <row r="34" spans="1:44" ht="15" customHeight="1" x14ac:dyDescent="0.3">
      <c r="A34" s="52">
        <v>3</v>
      </c>
      <c r="B34" s="557" t="s">
        <v>111</v>
      </c>
      <c r="C34" s="557"/>
      <c r="D34" s="558" t="str">
        <f>Ред!B23</f>
        <v>15.009.04.013</v>
      </c>
      <c r="E34" s="558"/>
      <c r="F34" s="127">
        <f>VLOOKUP(D34,Ред!B:E,4,FALSE)*$N$1</f>
        <v>162</v>
      </c>
      <c r="G34" s="202">
        <f>IF(G14=БД!AJ2,0,IF(B14=Z4,G30,0))</f>
        <v>0</v>
      </c>
      <c r="H34" s="559">
        <f>IFERROR(F34*G34,0)</f>
        <v>0</v>
      </c>
      <c r="I34" s="558"/>
      <c r="J34" s="558"/>
      <c r="N34" s="99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</row>
    <row r="35" spans="1:44" ht="15" customHeight="1" x14ac:dyDescent="0.3">
      <c r="A35" s="52">
        <v>4</v>
      </c>
      <c r="B35" s="557" t="s">
        <v>440</v>
      </c>
      <c r="C35" s="557"/>
      <c r="D35" s="558" t="str">
        <f>Ред!B22</f>
        <v>19.143.36.410</v>
      </c>
      <c r="E35" s="558"/>
      <c r="F35" s="127">
        <f>VLOOKUP(D35,Ред!B:E,4,FALSE)*$N$1</f>
        <v>248.39999999999998</v>
      </c>
      <c r="G35" s="460"/>
      <c r="H35" s="559">
        <f>IFERROR(F35*G35,0)</f>
        <v>0</v>
      </c>
      <c r="I35" s="558"/>
      <c r="J35" s="558"/>
      <c r="N35" s="99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</row>
    <row r="36" spans="1:44" ht="15" customHeight="1" x14ac:dyDescent="0.3">
      <c r="A36" s="52">
        <v>5</v>
      </c>
      <c r="B36" s="557" t="s">
        <v>441</v>
      </c>
      <c r="C36" s="557"/>
      <c r="D36" s="558" t="str">
        <f>Ред!B21</f>
        <v>15.800.00.041</v>
      </c>
      <c r="E36" s="558"/>
      <c r="F36" s="127">
        <f>VLOOKUP(D36,Ред!B:E,4,FALSE)*$N$1</f>
        <v>402.29999999999995</v>
      </c>
      <c r="G36" s="460"/>
      <c r="H36" s="559">
        <f>IFERROR(F36*G36,0)</f>
        <v>0</v>
      </c>
      <c r="I36" s="558"/>
      <c r="J36" s="558"/>
      <c r="N36" s="99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</row>
    <row r="37" spans="1:44" ht="15" customHeight="1" x14ac:dyDescent="0.3">
      <c r="A37" s="92"/>
      <c r="B37" s="548"/>
      <c r="C37" s="548"/>
      <c r="D37" s="548"/>
      <c r="E37" s="548"/>
      <c r="F37" s="548"/>
      <c r="G37" s="100" t="s">
        <v>138</v>
      </c>
      <c r="H37" s="560">
        <f>IF(G14=БД!AJ2,0,SUM(AL_полки!H32:J36))</f>
        <v>0</v>
      </c>
      <c r="I37" s="561"/>
      <c r="J37" s="562"/>
      <c r="N37" s="99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</row>
    <row r="38" spans="1:44" ht="15" customHeight="1" x14ac:dyDescent="0.35">
      <c r="A38" s="225"/>
      <c r="N38" s="99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</row>
    <row r="39" spans="1:44" ht="19.95" customHeight="1" x14ac:dyDescent="0.3">
      <c r="A39" s="92"/>
      <c r="B39" s="5"/>
      <c r="C39" s="5"/>
      <c r="D39" s="321" t="s">
        <v>6</v>
      </c>
      <c r="E39" s="484" t="s">
        <v>17</v>
      </c>
      <c r="F39" s="484"/>
      <c r="G39" s="464" t="s">
        <v>27</v>
      </c>
      <c r="N39" s="99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</row>
    <row r="40" spans="1:44" ht="19.95" customHeight="1" x14ac:dyDescent="0.3">
      <c r="A40" s="92"/>
      <c r="B40" s="577" t="s">
        <v>117</v>
      </c>
      <c r="C40" s="578"/>
      <c r="D40" s="128">
        <f>H30</f>
        <v>0</v>
      </c>
      <c r="E40" s="579"/>
      <c r="F40" s="579"/>
      <c r="G40" s="90">
        <f>ROUNDUP(D40-D40*E40,0)</f>
        <v>0</v>
      </c>
      <c r="N40" s="99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</row>
    <row r="41" spans="1:44" ht="19.95" customHeight="1" x14ac:dyDescent="0.3">
      <c r="A41" s="92"/>
      <c r="B41" s="577" t="s">
        <v>118</v>
      </c>
      <c r="C41" s="578"/>
      <c r="D41" s="22">
        <f>AL_полки!H37</f>
        <v>0</v>
      </c>
      <c r="E41" s="579"/>
      <c r="F41" s="579"/>
      <c r="G41" s="23">
        <f>ROUND(D41-D41*E41,0)</f>
        <v>0</v>
      </c>
      <c r="N41" s="99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</row>
    <row r="42" spans="1:44" x14ac:dyDescent="0.3">
      <c r="A42" s="92"/>
      <c r="B42" s="577" t="s">
        <v>18</v>
      </c>
      <c r="C42" s="578"/>
      <c r="D42" s="22">
        <f>ROUNDUP(SUM(D40:D41),0)</f>
        <v>0</v>
      </c>
      <c r="E42" s="580" t="e">
        <f>1-G42/D42</f>
        <v>#DIV/0!</v>
      </c>
      <c r="F42" s="580"/>
      <c r="G42" s="23">
        <f>SUM(G40:G41)</f>
        <v>0</v>
      </c>
      <c r="N42" s="99"/>
    </row>
    <row r="43" spans="1:44" hidden="1" x14ac:dyDescent="0.3">
      <c r="A43" s="92"/>
      <c r="N43" s="99"/>
    </row>
    <row r="44" spans="1:44" hidden="1" x14ac:dyDescent="0.3">
      <c r="A44" s="92"/>
      <c r="C44" s="213" t="s">
        <v>19</v>
      </c>
      <c r="D44" s="214"/>
      <c r="E44" s="214"/>
      <c r="F44" s="214"/>
      <c r="G44" s="214"/>
      <c r="H44" s="214"/>
      <c r="I44" s="214"/>
      <c r="J44" s="214"/>
      <c r="N44" s="99"/>
    </row>
    <row r="45" spans="1:44" hidden="1" x14ac:dyDescent="0.3">
      <c r="A45" s="92"/>
      <c r="C45" s="216"/>
      <c r="D45" s="217"/>
      <c r="E45" s="217"/>
      <c r="F45" s="217"/>
      <c r="G45" s="217"/>
      <c r="H45" s="217"/>
      <c r="I45" s="217"/>
      <c r="J45" s="217"/>
      <c r="N45" s="99"/>
    </row>
    <row r="46" spans="1:44" hidden="1" x14ac:dyDescent="0.3">
      <c r="A46" s="92"/>
      <c r="C46" s="216"/>
      <c r="D46" s="217"/>
      <c r="E46" s="217"/>
      <c r="F46" s="217"/>
      <c r="G46" s="217"/>
      <c r="H46" s="217"/>
      <c r="I46" s="217"/>
      <c r="J46" s="217"/>
      <c r="N46" s="99"/>
    </row>
    <row r="47" spans="1:44" hidden="1" x14ac:dyDescent="0.3">
      <c r="A47" s="92"/>
      <c r="C47" s="54" t="s">
        <v>28</v>
      </c>
      <c r="D47" s="5"/>
      <c r="E47" s="5"/>
      <c r="F47" s="5"/>
      <c r="H47" s="5"/>
      <c r="I47" s="5"/>
      <c r="J47" s="5"/>
      <c r="N47" s="99"/>
    </row>
    <row r="48" spans="1:44" hidden="1" x14ac:dyDescent="0.3">
      <c r="A48" s="92"/>
      <c r="C48" s="54" t="s">
        <v>29</v>
      </c>
      <c r="D48" s="5"/>
      <c r="E48" s="5"/>
      <c r="F48" s="5"/>
      <c r="H48" s="5"/>
      <c r="I48" s="5"/>
      <c r="J48" s="5"/>
      <c r="N48" s="99"/>
    </row>
    <row r="49" spans="1:14" x14ac:dyDescent="0.3">
      <c r="A49" s="92"/>
      <c r="C49" s="5"/>
      <c r="D49" s="5"/>
      <c r="E49" s="5"/>
      <c r="F49" s="5"/>
      <c r="G49" s="5"/>
      <c r="H49" s="5"/>
      <c r="I49" s="5"/>
      <c r="J49" s="5"/>
      <c r="N49" s="99"/>
    </row>
    <row r="50" spans="1:14" ht="27.6" hidden="1" x14ac:dyDescent="0.3">
      <c r="A50" s="92"/>
      <c r="C50" s="84" t="s">
        <v>30</v>
      </c>
      <c r="D50" s="85"/>
      <c r="E50" s="85"/>
      <c r="F50" s="84" t="s">
        <v>31</v>
      </c>
      <c r="G50" s="565"/>
      <c r="H50" s="566"/>
      <c r="I50" s="567"/>
      <c r="J50" s="203" t="s">
        <v>32</v>
      </c>
      <c r="K50" s="214"/>
      <c r="L50" s="215"/>
      <c r="N50" s="99"/>
    </row>
    <row r="51" spans="1:14" ht="41.4" hidden="1" x14ac:dyDescent="0.3">
      <c r="A51" s="92"/>
      <c r="C51" s="84" t="s">
        <v>33</v>
      </c>
      <c r="D51" s="85"/>
      <c r="E51" s="85"/>
      <c r="F51" s="84" t="s">
        <v>34</v>
      </c>
      <c r="G51" s="568"/>
      <c r="H51" s="569"/>
      <c r="I51" s="570"/>
      <c r="J51" s="84" t="s">
        <v>35</v>
      </c>
      <c r="K51" s="217"/>
      <c r="L51" s="218"/>
      <c r="N51" s="99"/>
    </row>
    <row r="52" spans="1:14" hidden="1" x14ac:dyDescent="0.3">
      <c r="A52" s="92"/>
      <c r="K52" s="217"/>
      <c r="L52" s="218"/>
      <c r="N52" s="99"/>
    </row>
    <row r="53" spans="1:14" x14ac:dyDescent="0.3">
      <c r="A53" s="92"/>
      <c r="C53" s="86" t="s">
        <v>20</v>
      </c>
      <c r="D53" s="216"/>
      <c r="E53" s="217"/>
      <c r="F53" s="217"/>
      <c r="G53" s="217"/>
      <c r="H53" s="217"/>
      <c r="I53" s="217"/>
      <c r="J53" s="217"/>
      <c r="K53" s="217"/>
      <c r="L53" s="218"/>
      <c r="M53" s="5"/>
      <c r="N53" s="99"/>
    </row>
    <row r="54" spans="1:14" x14ac:dyDescent="0.3">
      <c r="A54" s="92"/>
      <c r="C54" s="86" t="s">
        <v>21</v>
      </c>
      <c r="D54" s="216"/>
      <c r="E54" s="217"/>
      <c r="F54" s="217"/>
      <c r="G54" s="217"/>
      <c r="H54" s="217"/>
      <c r="I54" s="217"/>
      <c r="J54" s="217"/>
      <c r="K54" s="217"/>
      <c r="L54" s="218"/>
      <c r="M54" s="5"/>
      <c r="N54" s="99"/>
    </row>
    <row r="55" spans="1:14" x14ac:dyDescent="0.3">
      <c r="A55" s="92"/>
      <c r="C55" s="55" t="s">
        <v>22</v>
      </c>
      <c r="D55" s="571"/>
      <c r="E55" s="572"/>
      <c r="F55" s="573"/>
      <c r="G55" s="87" t="s">
        <v>38</v>
      </c>
      <c r="H55" s="219"/>
      <c r="I55" s="220"/>
      <c r="J55" s="220"/>
      <c r="K55" s="220"/>
      <c r="L55" s="221"/>
      <c r="M55" s="5"/>
      <c r="N55" s="99"/>
    </row>
    <row r="56" spans="1:14" x14ac:dyDescent="0.3">
      <c r="A56" s="92"/>
      <c r="C56" s="55" t="s">
        <v>23</v>
      </c>
      <c r="D56" s="574"/>
      <c r="E56" s="575"/>
      <c r="F56" s="576"/>
      <c r="G56" s="56" t="s">
        <v>24</v>
      </c>
      <c r="H56" s="222"/>
      <c r="I56" s="223"/>
      <c r="J56" s="223"/>
      <c r="K56" s="223"/>
      <c r="L56" s="224"/>
      <c r="M56" s="5"/>
      <c r="N56" s="99"/>
    </row>
    <row r="57" spans="1:14" ht="33" customHeight="1" x14ac:dyDescent="0.3">
      <c r="A57" s="105"/>
      <c r="B57" s="106"/>
      <c r="C57" s="88" t="s">
        <v>25</v>
      </c>
      <c r="D57" s="564"/>
      <c r="E57" s="564"/>
      <c r="F57" s="564"/>
      <c r="G57" s="564"/>
      <c r="H57" s="222"/>
      <c r="I57" s="223"/>
      <c r="J57" s="223"/>
      <c r="K57" s="223"/>
      <c r="L57" s="224"/>
      <c r="M57" s="25"/>
      <c r="N57" s="107"/>
    </row>
  </sheetData>
  <sheetProtection algorithmName="SHA-512" hashValue="l+kL3hDPXG7vK1Ru6OjQya4wuHYzxgpS1GkDedxJ87rgPBMwFTx7ys9NEaqeKklyC3cTzsNMeIxskQ+eYOWXoQ==" saltValue="AwhXLL/rxbmk6BBHQHpH8Q==" spinCount="100000" sheet="1" selectLockedCells="1"/>
  <mergeCells count="44">
    <mergeCell ref="O1:T1"/>
    <mergeCell ref="K13:L13"/>
    <mergeCell ref="D1:I4"/>
    <mergeCell ref="B15:D26"/>
    <mergeCell ref="B27:J27"/>
    <mergeCell ref="L2:N2"/>
    <mergeCell ref="E14:F14"/>
    <mergeCell ref="H14:J14"/>
    <mergeCell ref="E13:F13"/>
    <mergeCell ref="B42:C42"/>
    <mergeCell ref="E39:F39"/>
    <mergeCell ref="E40:F40"/>
    <mergeCell ref="E41:F41"/>
    <mergeCell ref="E42:F42"/>
    <mergeCell ref="B41:C41"/>
    <mergeCell ref="B40:C40"/>
    <mergeCell ref="D57:G57"/>
    <mergeCell ref="G50:I50"/>
    <mergeCell ref="G51:I51"/>
    <mergeCell ref="D55:F55"/>
    <mergeCell ref="D56:F56"/>
    <mergeCell ref="D33:E33"/>
    <mergeCell ref="A31:J31"/>
    <mergeCell ref="D32:E32"/>
    <mergeCell ref="H32:J32"/>
    <mergeCell ref="H33:J33"/>
    <mergeCell ref="B34:C34"/>
    <mergeCell ref="D34:E34"/>
    <mergeCell ref="H34:J34"/>
    <mergeCell ref="B37:F37"/>
    <mergeCell ref="H37:J37"/>
    <mergeCell ref="B35:C35"/>
    <mergeCell ref="D35:E35"/>
    <mergeCell ref="H35:J35"/>
    <mergeCell ref="B36:C36"/>
    <mergeCell ref="D36:E36"/>
    <mergeCell ref="H36:J36"/>
    <mergeCell ref="H29:J29"/>
    <mergeCell ref="H30:J30"/>
    <mergeCell ref="B29:C29"/>
    <mergeCell ref="D30:E30"/>
    <mergeCell ref="A28:J28"/>
    <mergeCell ref="D29:E29"/>
    <mergeCell ref="B30:C30"/>
  </mergeCells>
  <conditionalFormatting sqref="A31:J31">
    <cfRule type="expression" dxfId="35" priority="1">
      <formula>NOT($B$14=$Z$4)</formula>
    </cfRule>
  </conditionalFormatting>
  <conditionalFormatting sqref="A32:N37">
    <cfRule type="expression" dxfId="34" priority="3" stopIfTrue="1">
      <formula>NOT($B$14=$Z$4)</formula>
    </cfRule>
  </conditionalFormatting>
  <conditionalFormatting sqref="C33">
    <cfRule type="expression" dxfId="33" priority="4">
      <formula>$N$32&gt;$R$33</formula>
    </cfRule>
  </conditionalFormatting>
  <conditionalFormatting sqref="C13:D14 A38">
    <cfRule type="expression" dxfId="32" priority="31">
      <formula>$B$14=$Z$3</formula>
    </cfRule>
  </conditionalFormatting>
  <conditionalFormatting sqref="G13:G14">
    <cfRule type="expression" dxfId="31" priority="7">
      <formula>$B$14=$Z$5</formula>
    </cfRule>
    <cfRule type="expression" dxfId="30" priority="8">
      <formula>$B$14=$Z$3</formula>
    </cfRule>
  </conditionalFormatting>
  <conditionalFormatting sqref="H13:J13 H14">
    <cfRule type="expression" dxfId="29" priority="28">
      <formula>$B$14=$Z$5</formula>
    </cfRule>
    <cfRule type="expression" dxfId="28" priority="29">
      <formula>$B$14=$Z$3</formula>
    </cfRule>
  </conditionalFormatting>
  <conditionalFormatting sqref="N32">
    <cfRule type="expression" dxfId="27" priority="2">
      <formula>$N$32&gt;$R$33</formula>
    </cfRule>
  </conditionalFormatting>
  <dataValidations count="11">
    <dataValidation type="list" allowBlank="1" showInputMessage="1" showErrorMessage="1" sqref="C14" xr:uid="{00000000-0002-0000-0500-000000000000}">
      <formula1>$AB$3:$AB$10</formula1>
    </dataValidation>
    <dataValidation type="list" allowBlank="1" showInputMessage="1" showErrorMessage="1" sqref="C7" xr:uid="{00000000-0002-0000-0500-000001000000}">
      <formula1>$V$2:$V$4</formula1>
    </dataValidation>
    <dataValidation type="list" allowBlank="1" showInputMessage="1" showErrorMessage="1" sqref="B15" xr:uid="{00000000-0002-0000-0500-000003000000}">
      <formula1>$Z$3:$Z$4</formula1>
    </dataValidation>
    <dataValidation type="list" allowBlank="1" showInputMessage="1" showErrorMessage="1" sqref="B14" xr:uid="{00000000-0002-0000-0500-000004000000}">
      <formula1>$Z$3:$Z$5</formula1>
    </dataValidation>
    <dataValidation type="list" allowBlank="1" showInputMessage="1" showErrorMessage="1" sqref="D14" xr:uid="{00000000-0002-0000-0500-000005000000}">
      <formula1>$AN$3:$AN$4</formula1>
    </dataValidation>
    <dataValidation type="list" allowBlank="1" showInputMessage="1" showErrorMessage="1" sqref="E14:F14" xr:uid="{00000000-0002-0000-0500-000006000000}">
      <formula1>IF($K$1="ИРА",INDIRECT("ПолкиВставкиИРА[ира]"), INDIRECT("ПолкиВставкиОПТ[опт]"))</formula1>
    </dataValidation>
    <dataValidation type="whole" operator="greaterThanOrEqual" allowBlank="1" showInputMessage="1" showErrorMessage="1" error="Не меньше 36мм" sqref="F16:F19 F23:F26" xr:uid="{00000000-0002-0000-0500-000007000000}">
      <formula1>36</formula1>
    </dataValidation>
    <dataValidation type="whole" allowBlank="1" showInputMessage="1" showErrorMessage="1" error="Смотри ограничения_x000a_Только целые числа" sqref="C11" xr:uid="{2A31C1DF-7C0F-4F39-AC27-6DAA9C998F0C}">
      <formula1>0</formula1>
      <formula2>600</formula2>
    </dataValidation>
    <dataValidation type="decimal" operator="greaterThanOrEqual" allowBlank="1" showInputMessage="1" showErrorMessage="1" sqref="N1" xr:uid="{9A57C75B-3026-4E3F-815C-68D05B16A734}">
      <formula1>1</formula1>
    </dataValidation>
    <dataValidation type="whole" allowBlank="1" showInputMessage="1" showErrorMessage="1" error="Смотри ограничения_x000a_Только целые числа" sqref="C9" xr:uid="{FB7ACED5-8547-4BFA-AF5B-B4DD5C8FCFE4}">
      <formula1>0</formula1>
      <formula2>1000</formula2>
    </dataValidation>
    <dataValidation type="list" allowBlank="1" showInputMessage="1" showErrorMessage="1" sqref="H14:J14" xr:uid="{50A9E19C-4528-4040-ADF0-D1B1D48455BC}">
      <formula1>INDIRECT("БДСветодиоды[Светодиоды]")</formula1>
    </dataValidation>
  </dataValidations>
  <pageMargins left="0.25" right="0.25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9000000}">
          <x14:formula1>
            <xm:f>БД!$AJ$3:$AJ$3</xm:f>
          </x14:formula1>
          <xm:sqref>G14</xm:sqref>
        </x14:dataValidation>
        <x14:dataValidation type="list" allowBlank="1" showInputMessage="1" showErrorMessage="1" xr:uid="{00000000-0002-0000-0500-00000A000000}">
          <x14:formula1>
            <xm:f>БД!$AM$3:$AM$6</xm:f>
          </x14:formula1>
          <xm:sqref>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tabColor rgb="FFFFC000"/>
  </sheetPr>
  <dimension ref="A1:P36"/>
  <sheetViews>
    <sheetView workbookViewId="0">
      <selection activeCell="G8" sqref="G8"/>
    </sheetView>
  </sheetViews>
  <sheetFormatPr defaultRowHeight="14.4" x14ac:dyDescent="0.3"/>
  <cols>
    <col min="1" max="1" width="5" customWidth="1"/>
    <col min="2" max="2" width="15.6640625" customWidth="1"/>
    <col min="4" max="4" width="7.44140625" customWidth="1"/>
    <col min="5" max="5" width="24" customWidth="1"/>
    <col min="6" max="6" width="9.33203125" customWidth="1"/>
    <col min="7" max="7" width="12.33203125" customWidth="1"/>
    <col min="8" max="8" width="10.6640625" customWidth="1"/>
    <col min="10" max="10" width="13" customWidth="1"/>
  </cols>
  <sheetData>
    <row r="1" spans="1:16" ht="15" thickBot="1" x14ac:dyDescent="0.35">
      <c r="A1" s="233"/>
      <c r="B1" s="234"/>
      <c r="C1" s="235"/>
      <c r="D1" s="617" t="s">
        <v>289</v>
      </c>
      <c r="E1" s="618"/>
      <c r="F1" s="618"/>
      <c r="G1" s="618"/>
      <c r="H1" s="618"/>
      <c r="I1" s="618"/>
      <c r="J1" s="618"/>
      <c r="K1" s="619"/>
      <c r="L1" s="236"/>
      <c r="M1" s="337">
        <f>'Фасады EDGE'!O1:O2</f>
        <v>0</v>
      </c>
      <c r="N1" s="237"/>
      <c r="O1" s="238"/>
      <c r="P1" s="209">
        <v>1</v>
      </c>
    </row>
    <row r="2" spans="1:16" x14ac:dyDescent="0.3">
      <c r="A2" s="96"/>
      <c r="B2" s="7"/>
      <c r="C2" s="8"/>
      <c r="D2" s="588"/>
      <c r="E2" s="589"/>
      <c r="F2" s="589"/>
      <c r="G2" s="589"/>
      <c r="H2" s="589"/>
      <c r="I2" s="589"/>
      <c r="J2" s="589"/>
      <c r="K2" s="590"/>
      <c r="L2" s="9" t="s">
        <v>36</v>
      </c>
      <c r="M2" s="5"/>
      <c r="N2" s="595">
        <f>MAX(Изменения[Дата])</f>
        <v>45160</v>
      </c>
      <c r="O2" s="595"/>
      <c r="P2" s="596"/>
    </row>
    <row r="3" spans="1:16" x14ac:dyDescent="0.3">
      <c r="A3" s="96"/>
      <c r="B3" s="7"/>
      <c r="C3" s="8"/>
      <c r="D3" s="588"/>
      <c r="E3" s="589"/>
      <c r="F3" s="589"/>
      <c r="G3" s="589"/>
      <c r="H3" s="589"/>
      <c r="I3" s="589"/>
      <c r="J3" s="589"/>
      <c r="K3" s="590"/>
      <c r="L3" s="5" t="s">
        <v>10</v>
      </c>
      <c r="M3" s="5"/>
      <c r="N3" s="381" t="s">
        <v>11</v>
      </c>
      <c r="O3" s="382" t="s">
        <v>37</v>
      </c>
      <c r="P3" s="31" t="s">
        <v>595</v>
      </c>
    </row>
    <row r="4" spans="1:16" x14ac:dyDescent="0.3">
      <c r="A4" s="96"/>
      <c r="B4" s="12"/>
      <c r="C4" s="13"/>
      <c r="D4" s="591"/>
      <c r="E4" s="592"/>
      <c r="F4" s="592"/>
      <c r="G4" s="592"/>
      <c r="H4" s="592"/>
      <c r="I4" s="592"/>
      <c r="J4" s="592"/>
      <c r="K4" s="593"/>
      <c r="L4" s="9" t="s">
        <v>12</v>
      </c>
      <c r="M4" s="9"/>
      <c r="N4" s="381" t="s">
        <v>11</v>
      </c>
      <c r="O4" s="382" t="s">
        <v>37</v>
      </c>
      <c r="P4" s="31" t="s">
        <v>595</v>
      </c>
    </row>
    <row r="5" spans="1:16" ht="20.399999999999999" customHeight="1" x14ac:dyDescent="0.3">
      <c r="A5" s="239"/>
      <c r="B5" s="621" t="s">
        <v>299</v>
      </c>
      <c r="C5" s="621"/>
      <c r="D5" s="621"/>
      <c r="E5" s="621"/>
      <c r="F5" s="621"/>
      <c r="G5" s="621"/>
      <c r="H5" s="621"/>
      <c r="I5" s="621"/>
      <c r="J5" s="621"/>
      <c r="K5" s="621"/>
      <c r="P5" s="240"/>
    </row>
    <row r="6" spans="1:16" ht="28.8" x14ac:dyDescent="0.3">
      <c r="A6" s="266" t="s">
        <v>115</v>
      </c>
      <c r="B6" s="620" t="s">
        <v>15</v>
      </c>
      <c r="C6" s="620"/>
      <c r="D6" s="620"/>
      <c r="E6" s="248" t="s">
        <v>5</v>
      </c>
      <c r="F6" s="248" t="s">
        <v>323</v>
      </c>
      <c r="G6" s="247" t="s">
        <v>301</v>
      </c>
      <c r="H6" s="248" t="s">
        <v>8</v>
      </c>
      <c r="I6" s="248" t="s">
        <v>3</v>
      </c>
      <c r="J6" s="620" t="s">
        <v>119</v>
      </c>
      <c r="K6" s="620"/>
      <c r="L6" s="241"/>
      <c r="M6" s="262">
        <f>L9+L11+L13+L15+L17+L19+L21+L23+L25+L27</f>
        <v>0</v>
      </c>
      <c r="N6" s="241"/>
      <c r="O6" s="241"/>
      <c r="P6" s="240"/>
    </row>
    <row r="7" spans="1:16" x14ac:dyDescent="0.3">
      <c r="A7" s="610" t="s">
        <v>291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241" t="s">
        <v>8</v>
      </c>
      <c r="M7" s="241" t="s">
        <v>3</v>
      </c>
      <c r="N7" s="241" t="s">
        <v>215</v>
      </c>
      <c r="O7" s="241" t="s">
        <v>354</v>
      </c>
      <c r="P7" s="242" t="s">
        <v>355</v>
      </c>
    </row>
    <row r="8" spans="1:16" x14ac:dyDescent="0.3">
      <c r="A8" s="149">
        <v>1</v>
      </c>
      <c r="B8" s="613" t="s">
        <v>290</v>
      </c>
      <c r="C8" s="613"/>
      <c r="D8" s="613"/>
      <c r="E8" s="136" t="s">
        <v>351</v>
      </c>
      <c r="F8" s="135" t="s">
        <v>324</v>
      </c>
      <c r="G8" s="232"/>
      <c r="H8" s="202">
        <f>IF(G8="",0,1)</f>
        <v>0</v>
      </c>
      <c r="I8" s="139">
        <f>IF(H8=1,M8,0)</f>
        <v>0</v>
      </c>
      <c r="J8" s="609">
        <f>O8</f>
        <v>0</v>
      </c>
      <c r="K8" s="558"/>
      <c r="L8" s="262">
        <f>G8/5300</f>
        <v>0</v>
      </c>
      <c r="M8" s="243">
        <f>Ред!$E$85*$P$1*1.1</f>
        <v>5383.2018239999998</v>
      </c>
      <c r="N8" s="243">
        <f>M8*L8</f>
        <v>0</v>
      </c>
      <c r="O8" s="243">
        <f>N8</f>
        <v>0</v>
      </c>
      <c r="P8" s="259"/>
    </row>
    <row r="9" spans="1:16" x14ac:dyDescent="0.3">
      <c r="A9" s="263">
        <v>1.1000000000000001</v>
      </c>
      <c r="B9" s="614" t="s">
        <v>356</v>
      </c>
      <c r="C9" s="615"/>
      <c r="D9" s="616"/>
      <c r="E9" s="45" t="s">
        <v>352</v>
      </c>
      <c r="F9" s="135" t="s">
        <v>324</v>
      </c>
      <c r="G9" s="264">
        <f>G8</f>
        <v>0</v>
      </c>
      <c r="H9" s="202">
        <f>IF(G9=0,0,1)</f>
        <v>0</v>
      </c>
      <c r="I9" s="139">
        <f>Ред!$E$89</f>
        <v>91.727999999999994</v>
      </c>
      <c r="J9" s="609">
        <f>IFERROR(G9/1000*I9,0)</f>
        <v>0</v>
      </c>
      <c r="K9" s="558"/>
      <c r="L9" s="262">
        <f>G9/1000</f>
        <v>0</v>
      </c>
      <c r="M9" s="243"/>
      <c r="N9" s="243"/>
      <c r="O9" s="243"/>
      <c r="P9" s="259"/>
    </row>
    <row r="10" spans="1:16" x14ac:dyDescent="0.3">
      <c r="A10" s="149">
        <v>2</v>
      </c>
      <c r="B10" s="613" t="s">
        <v>290</v>
      </c>
      <c r="C10" s="613"/>
      <c r="D10" s="613"/>
      <c r="E10" s="136" t="s">
        <v>351</v>
      </c>
      <c r="F10" s="135" t="s">
        <v>324</v>
      </c>
      <c r="G10" s="232"/>
      <c r="H10" s="202">
        <f>IF(G10="",0,1)</f>
        <v>0</v>
      </c>
      <c r="I10" s="139">
        <f>IF(H10=1,M10,0)</f>
        <v>0</v>
      </c>
      <c r="J10" s="609">
        <f t="shared" ref="J10:J26" si="0">O10</f>
        <v>0</v>
      </c>
      <c r="K10" s="558"/>
      <c r="L10" s="262">
        <f>G10/5300</f>
        <v>0</v>
      </c>
      <c r="M10" s="243">
        <f>Ред!$E$85*$P$1*1.1</f>
        <v>5383.2018239999998</v>
      </c>
      <c r="N10" s="243">
        <f>M10*L10</f>
        <v>0</v>
      </c>
      <c r="O10" s="243">
        <f>N10</f>
        <v>0</v>
      </c>
      <c r="P10" s="259"/>
    </row>
    <row r="11" spans="1:16" x14ac:dyDescent="0.3">
      <c r="A11" s="149">
        <v>2.1</v>
      </c>
      <c r="B11" s="614" t="s">
        <v>356</v>
      </c>
      <c r="C11" s="615"/>
      <c r="D11" s="616"/>
      <c r="E11" s="45" t="s">
        <v>352</v>
      </c>
      <c r="F11" s="135" t="s">
        <v>324</v>
      </c>
      <c r="G11" s="264">
        <f>G10</f>
        <v>0</v>
      </c>
      <c r="H11" s="202">
        <f>IF(G11=0,0,1)</f>
        <v>0</v>
      </c>
      <c r="I11" s="139">
        <f>Ред!$E$89</f>
        <v>91.727999999999994</v>
      </c>
      <c r="J11" s="609">
        <f>IFERROR(G11/1000*I11,0)</f>
        <v>0</v>
      </c>
      <c r="K11" s="558"/>
      <c r="L11" s="262">
        <f>G11/1000</f>
        <v>0</v>
      </c>
      <c r="M11" s="243"/>
      <c r="N11" s="243"/>
      <c r="O11" s="243"/>
      <c r="P11" s="259"/>
    </row>
    <row r="12" spans="1:16" x14ac:dyDescent="0.3">
      <c r="A12" s="149">
        <v>3</v>
      </c>
      <c r="B12" s="613" t="s">
        <v>290</v>
      </c>
      <c r="C12" s="613"/>
      <c r="D12" s="613"/>
      <c r="E12" s="136" t="s">
        <v>351</v>
      </c>
      <c r="F12" s="135" t="s">
        <v>324</v>
      </c>
      <c r="G12" s="232"/>
      <c r="H12" s="202">
        <f>IF(G12="",0,1)</f>
        <v>0</v>
      </c>
      <c r="I12" s="139">
        <f>IF(H12=1,M12,0)</f>
        <v>0</v>
      </c>
      <c r="J12" s="609">
        <f t="shared" si="0"/>
        <v>0</v>
      </c>
      <c r="K12" s="558"/>
      <c r="L12" s="262">
        <f>G12/5300</f>
        <v>0</v>
      </c>
      <c r="M12" s="243">
        <f>Ред!$E$85*$P$1*1.1</f>
        <v>5383.2018239999998</v>
      </c>
      <c r="N12" s="243">
        <f>M12*L12</f>
        <v>0</v>
      </c>
      <c r="O12" s="243">
        <f>N12</f>
        <v>0</v>
      </c>
      <c r="P12" s="259"/>
    </row>
    <row r="13" spans="1:16" x14ac:dyDescent="0.3">
      <c r="A13" s="149">
        <v>3.1</v>
      </c>
      <c r="B13" s="614" t="s">
        <v>356</v>
      </c>
      <c r="C13" s="615"/>
      <c r="D13" s="616"/>
      <c r="E13" s="45" t="s">
        <v>352</v>
      </c>
      <c r="F13" s="135" t="s">
        <v>324</v>
      </c>
      <c r="G13" s="264">
        <f>G12</f>
        <v>0</v>
      </c>
      <c r="H13" s="202">
        <f>IF(G13=0,0,1)</f>
        <v>0</v>
      </c>
      <c r="I13" s="139">
        <f>Ред!$E$89</f>
        <v>91.727999999999994</v>
      </c>
      <c r="J13" s="609">
        <f>IFERROR(G13/1000*I13,0)</f>
        <v>0</v>
      </c>
      <c r="K13" s="558"/>
      <c r="L13" s="262">
        <f>G13/1000</f>
        <v>0</v>
      </c>
      <c r="M13" s="243"/>
      <c r="N13" s="243"/>
      <c r="O13" s="243"/>
      <c r="P13" s="259"/>
    </row>
    <row r="14" spans="1:16" x14ac:dyDescent="0.3">
      <c r="A14" s="149">
        <v>4</v>
      </c>
      <c r="B14" s="613" t="s">
        <v>290</v>
      </c>
      <c r="C14" s="613"/>
      <c r="D14" s="613"/>
      <c r="E14" s="136" t="s">
        <v>351</v>
      </c>
      <c r="F14" s="135" t="s">
        <v>324</v>
      </c>
      <c r="G14" s="232"/>
      <c r="H14" s="202">
        <f>IF(G14="",0,1)</f>
        <v>0</v>
      </c>
      <c r="I14" s="139">
        <f>IF(H14=1,M14,0)</f>
        <v>0</v>
      </c>
      <c r="J14" s="609">
        <f t="shared" si="0"/>
        <v>0</v>
      </c>
      <c r="K14" s="558"/>
      <c r="L14" s="262">
        <f>G14/5300</f>
        <v>0</v>
      </c>
      <c r="M14" s="243">
        <f>Ред!$E$85*$P$1*1.1</f>
        <v>5383.2018239999998</v>
      </c>
      <c r="N14" s="243">
        <f>M14*L14</f>
        <v>0</v>
      </c>
      <c r="O14" s="243">
        <f>N14</f>
        <v>0</v>
      </c>
      <c r="P14" s="259"/>
    </row>
    <row r="15" spans="1:16" x14ac:dyDescent="0.3">
      <c r="A15" s="149">
        <v>4.0999999999999996</v>
      </c>
      <c r="B15" s="614" t="s">
        <v>356</v>
      </c>
      <c r="C15" s="615"/>
      <c r="D15" s="616"/>
      <c r="E15" s="45" t="s">
        <v>352</v>
      </c>
      <c r="F15" s="135" t="s">
        <v>324</v>
      </c>
      <c r="G15" s="264">
        <f>G14</f>
        <v>0</v>
      </c>
      <c r="H15" s="202">
        <f>IF(G15=0,0,1)</f>
        <v>0</v>
      </c>
      <c r="I15" s="139">
        <f>Ред!$E$89</f>
        <v>91.727999999999994</v>
      </c>
      <c r="J15" s="609">
        <f>IFERROR(G15/1000*I15,0)</f>
        <v>0</v>
      </c>
      <c r="K15" s="558"/>
      <c r="L15" s="262">
        <f>G15/1000</f>
        <v>0</v>
      </c>
      <c r="M15" s="243"/>
      <c r="N15" s="243"/>
      <c r="O15" s="243"/>
      <c r="P15" s="259"/>
    </row>
    <row r="16" spans="1:16" x14ac:dyDescent="0.3">
      <c r="A16" s="149">
        <v>5</v>
      </c>
      <c r="B16" s="613" t="s">
        <v>290</v>
      </c>
      <c r="C16" s="613"/>
      <c r="D16" s="613"/>
      <c r="E16" s="136" t="s">
        <v>351</v>
      </c>
      <c r="F16" s="135" t="s">
        <v>324</v>
      </c>
      <c r="G16" s="232"/>
      <c r="H16" s="202">
        <f>IF(G16="",0,1)</f>
        <v>0</v>
      </c>
      <c r="I16" s="139">
        <f>IF(H16=1,M16,0)</f>
        <v>0</v>
      </c>
      <c r="J16" s="609">
        <f t="shared" si="0"/>
        <v>0</v>
      </c>
      <c r="K16" s="558"/>
      <c r="L16" s="262">
        <f>G16/5300</f>
        <v>0</v>
      </c>
      <c r="M16" s="243">
        <f>Ред!$E$85*$P$1*1.1</f>
        <v>5383.2018239999998</v>
      </c>
      <c r="N16" s="243">
        <f>M16*L16</f>
        <v>0</v>
      </c>
      <c r="O16" s="243">
        <f>N16</f>
        <v>0</v>
      </c>
      <c r="P16" s="259"/>
    </row>
    <row r="17" spans="1:16" x14ac:dyDescent="0.3">
      <c r="A17" s="149">
        <v>5.0999999999999996</v>
      </c>
      <c r="B17" s="614" t="s">
        <v>356</v>
      </c>
      <c r="C17" s="615"/>
      <c r="D17" s="616"/>
      <c r="E17" s="45" t="s">
        <v>352</v>
      </c>
      <c r="F17" s="135" t="s">
        <v>324</v>
      </c>
      <c r="G17" s="264">
        <f>G16</f>
        <v>0</v>
      </c>
      <c r="H17" s="202">
        <f>IF(G17=0,0,1)</f>
        <v>0</v>
      </c>
      <c r="I17" s="139">
        <f>Ред!$E$89</f>
        <v>91.727999999999994</v>
      </c>
      <c r="J17" s="609">
        <f>IFERROR(G17/1000*I17,0)</f>
        <v>0</v>
      </c>
      <c r="K17" s="558"/>
      <c r="L17" s="262">
        <f>G17/1000</f>
        <v>0</v>
      </c>
      <c r="M17" s="243"/>
      <c r="N17" s="243"/>
      <c r="O17" s="243"/>
      <c r="P17" s="259"/>
    </row>
    <row r="18" spans="1:16" x14ac:dyDescent="0.3">
      <c r="A18" s="149">
        <v>6</v>
      </c>
      <c r="B18" s="613" t="s">
        <v>290</v>
      </c>
      <c r="C18" s="613"/>
      <c r="D18" s="613"/>
      <c r="E18" s="136" t="s">
        <v>351</v>
      </c>
      <c r="F18" s="135" t="s">
        <v>324</v>
      </c>
      <c r="G18" s="232"/>
      <c r="H18" s="202">
        <f>IF(G18="",0,1)</f>
        <v>0</v>
      </c>
      <c r="I18" s="139">
        <f>IF(H18=1,M18,0)</f>
        <v>0</v>
      </c>
      <c r="J18" s="609">
        <f t="shared" si="0"/>
        <v>0</v>
      </c>
      <c r="K18" s="558"/>
      <c r="L18" s="262">
        <f>G18/5300</f>
        <v>0</v>
      </c>
      <c r="M18" s="243">
        <f>Ред!$E$85*$P$1*1.1</f>
        <v>5383.2018239999998</v>
      </c>
      <c r="N18" s="243">
        <f>M18*L18</f>
        <v>0</v>
      </c>
      <c r="O18" s="243">
        <f>N18</f>
        <v>0</v>
      </c>
      <c r="P18" s="259"/>
    </row>
    <row r="19" spans="1:16" x14ac:dyDescent="0.3">
      <c r="A19" s="149">
        <v>6.1</v>
      </c>
      <c r="B19" s="614" t="s">
        <v>356</v>
      </c>
      <c r="C19" s="615"/>
      <c r="D19" s="616"/>
      <c r="E19" s="45" t="s">
        <v>352</v>
      </c>
      <c r="F19" s="135" t="s">
        <v>324</v>
      </c>
      <c r="G19" s="264">
        <f>G18</f>
        <v>0</v>
      </c>
      <c r="H19" s="202">
        <f>IF(G19=0,0,1)</f>
        <v>0</v>
      </c>
      <c r="I19" s="139">
        <f>Ред!$E$89</f>
        <v>91.727999999999994</v>
      </c>
      <c r="J19" s="609">
        <f>IFERROR(G19/1000*I19,0)</f>
        <v>0</v>
      </c>
      <c r="K19" s="558"/>
      <c r="L19" s="262">
        <f>G19/1000</f>
        <v>0</v>
      </c>
      <c r="M19" s="243"/>
      <c r="N19" s="243"/>
      <c r="O19" s="243"/>
      <c r="P19" s="259"/>
    </row>
    <row r="20" spans="1:16" x14ac:dyDescent="0.3">
      <c r="A20" s="149">
        <v>7</v>
      </c>
      <c r="B20" s="613" t="s">
        <v>290</v>
      </c>
      <c r="C20" s="613"/>
      <c r="D20" s="613"/>
      <c r="E20" s="136" t="s">
        <v>351</v>
      </c>
      <c r="F20" s="135" t="s">
        <v>324</v>
      </c>
      <c r="G20" s="232"/>
      <c r="H20" s="202">
        <f>IF(G20="",0,1)</f>
        <v>0</v>
      </c>
      <c r="I20" s="139">
        <f>IF(H20=1,M20,0)</f>
        <v>0</v>
      </c>
      <c r="J20" s="609">
        <f t="shared" si="0"/>
        <v>0</v>
      </c>
      <c r="K20" s="558"/>
      <c r="L20" s="262">
        <f>G20/5300</f>
        <v>0</v>
      </c>
      <c r="M20" s="243">
        <f>Ред!$E$85*$P$1*1.1</f>
        <v>5383.2018239999998</v>
      </c>
      <c r="N20" s="243">
        <f>M20*L20</f>
        <v>0</v>
      </c>
      <c r="O20" s="243">
        <f>N20</f>
        <v>0</v>
      </c>
      <c r="P20" s="259"/>
    </row>
    <row r="21" spans="1:16" x14ac:dyDescent="0.3">
      <c r="A21" s="149">
        <v>7.1</v>
      </c>
      <c r="B21" s="614" t="s">
        <v>356</v>
      </c>
      <c r="C21" s="615"/>
      <c r="D21" s="616"/>
      <c r="E21" s="45" t="s">
        <v>352</v>
      </c>
      <c r="F21" s="135" t="s">
        <v>324</v>
      </c>
      <c r="G21" s="264">
        <f>G20</f>
        <v>0</v>
      </c>
      <c r="H21" s="202">
        <f>IF(G21=0,0,1)</f>
        <v>0</v>
      </c>
      <c r="I21" s="139">
        <f>Ред!$E$89</f>
        <v>91.727999999999994</v>
      </c>
      <c r="J21" s="609">
        <f>IFERROR(G21/1000*I21,0)</f>
        <v>0</v>
      </c>
      <c r="K21" s="558"/>
      <c r="L21" s="262">
        <f>G21/1000</f>
        <v>0</v>
      </c>
      <c r="M21" s="243"/>
      <c r="N21" s="243"/>
      <c r="O21" s="243"/>
      <c r="P21" s="259"/>
    </row>
    <row r="22" spans="1:16" x14ac:dyDescent="0.3">
      <c r="A22" s="149">
        <v>8</v>
      </c>
      <c r="B22" s="613" t="s">
        <v>290</v>
      </c>
      <c r="C22" s="613"/>
      <c r="D22" s="613"/>
      <c r="E22" s="136" t="s">
        <v>351</v>
      </c>
      <c r="F22" s="135" t="s">
        <v>324</v>
      </c>
      <c r="G22" s="232"/>
      <c r="H22" s="202">
        <f>IF(G22="",0,1)</f>
        <v>0</v>
      </c>
      <c r="I22" s="139">
        <f>IF(H22=1,M22,0)</f>
        <v>0</v>
      </c>
      <c r="J22" s="609">
        <f t="shared" si="0"/>
        <v>0</v>
      </c>
      <c r="K22" s="558"/>
      <c r="L22" s="262">
        <f>G22/5300</f>
        <v>0</v>
      </c>
      <c r="M22" s="243">
        <f>Ред!$E$85*$P$1*1.1</f>
        <v>5383.2018239999998</v>
      </c>
      <c r="N22" s="243">
        <f>M22*L22</f>
        <v>0</v>
      </c>
      <c r="O22" s="243">
        <f>N22</f>
        <v>0</v>
      </c>
      <c r="P22" s="259"/>
    </row>
    <row r="23" spans="1:16" x14ac:dyDescent="0.3">
      <c r="A23" s="149">
        <v>8.1</v>
      </c>
      <c r="B23" s="614" t="s">
        <v>356</v>
      </c>
      <c r="C23" s="615"/>
      <c r="D23" s="616"/>
      <c r="E23" s="45" t="s">
        <v>352</v>
      </c>
      <c r="F23" s="135" t="s">
        <v>324</v>
      </c>
      <c r="G23" s="264">
        <f>G22</f>
        <v>0</v>
      </c>
      <c r="H23" s="202">
        <f>IF(G23=0,0,1)</f>
        <v>0</v>
      </c>
      <c r="I23" s="139">
        <f>Ред!$E$89</f>
        <v>91.727999999999994</v>
      </c>
      <c r="J23" s="609">
        <f>IFERROR(G23/1000*I23,0)</f>
        <v>0</v>
      </c>
      <c r="K23" s="558"/>
      <c r="L23" s="262">
        <f>G23/1000</f>
        <v>0</v>
      </c>
      <c r="M23" s="243"/>
      <c r="N23" s="243"/>
      <c r="O23" s="243"/>
      <c r="P23" s="259"/>
    </row>
    <row r="24" spans="1:16" x14ac:dyDescent="0.3">
      <c r="A24" s="149">
        <v>9</v>
      </c>
      <c r="B24" s="613" t="s">
        <v>290</v>
      </c>
      <c r="C24" s="613"/>
      <c r="D24" s="613"/>
      <c r="E24" s="136" t="s">
        <v>351</v>
      </c>
      <c r="F24" s="135" t="s">
        <v>324</v>
      </c>
      <c r="G24" s="232"/>
      <c r="H24" s="202">
        <f>IF(G24="",0,1)</f>
        <v>0</v>
      </c>
      <c r="I24" s="139">
        <f>IF(H24=1,M24,0)</f>
        <v>0</v>
      </c>
      <c r="J24" s="609">
        <f t="shared" si="0"/>
        <v>0</v>
      </c>
      <c r="K24" s="558"/>
      <c r="L24" s="262">
        <f>G24/5300</f>
        <v>0</v>
      </c>
      <c r="M24" s="243">
        <f>Ред!$E$85*$P$1*1.1</f>
        <v>5383.2018239999998</v>
      </c>
      <c r="N24" s="243">
        <f>M24*L24</f>
        <v>0</v>
      </c>
      <c r="O24" s="243">
        <f>N24</f>
        <v>0</v>
      </c>
      <c r="P24" s="259"/>
    </row>
    <row r="25" spans="1:16" x14ac:dyDescent="0.3">
      <c r="A25" s="149">
        <v>9.1</v>
      </c>
      <c r="B25" s="614" t="s">
        <v>356</v>
      </c>
      <c r="C25" s="615"/>
      <c r="D25" s="616"/>
      <c r="E25" s="45" t="s">
        <v>352</v>
      </c>
      <c r="F25" s="135" t="s">
        <v>324</v>
      </c>
      <c r="G25" s="264">
        <f>G24</f>
        <v>0</v>
      </c>
      <c r="H25" s="202">
        <f>IF(G25=0,0,1)</f>
        <v>0</v>
      </c>
      <c r="I25" s="139">
        <f>Ред!$E$89</f>
        <v>91.727999999999994</v>
      </c>
      <c r="J25" s="609">
        <f>IFERROR(G25/1000*I25,0)</f>
        <v>0</v>
      </c>
      <c r="K25" s="558"/>
      <c r="L25" s="262">
        <f>G25/1000</f>
        <v>0</v>
      </c>
      <c r="M25" s="243"/>
      <c r="N25" s="243"/>
      <c r="O25" s="243"/>
      <c r="P25" s="259"/>
    </row>
    <row r="26" spans="1:16" x14ac:dyDescent="0.3">
      <c r="A26" s="149">
        <v>10</v>
      </c>
      <c r="B26" s="613" t="s">
        <v>290</v>
      </c>
      <c r="C26" s="613"/>
      <c r="D26" s="613"/>
      <c r="E26" s="136" t="s">
        <v>351</v>
      </c>
      <c r="F26" s="135" t="s">
        <v>324</v>
      </c>
      <c r="G26" s="232"/>
      <c r="H26" s="202">
        <f>IF(G26="",0,1)</f>
        <v>0</v>
      </c>
      <c r="I26" s="139">
        <f>IF(H26=1,M26,0)</f>
        <v>0</v>
      </c>
      <c r="J26" s="609">
        <f t="shared" si="0"/>
        <v>0</v>
      </c>
      <c r="K26" s="558"/>
      <c r="L26" s="262">
        <f>G26/5300</f>
        <v>0</v>
      </c>
      <c r="M26" s="243">
        <f>Ред!$E$85*$P$1*1.1</f>
        <v>5383.2018239999998</v>
      </c>
      <c r="N26" s="243">
        <f>M26*L26</f>
        <v>0</v>
      </c>
      <c r="O26" s="243">
        <f>N26</f>
        <v>0</v>
      </c>
      <c r="P26" s="259"/>
    </row>
    <row r="27" spans="1:16" x14ac:dyDescent="0.3">
      <c r="A27" s="149">
        <v>10.1</v>
      </c>
      <c r="B27" s="614" t="s">
        <v>356</v>
      </c>
      <c r="C27" s="615"/>
      <c r="D27" s="616"/>
      <c r="E27" s="45" t="s">
        <v>352</v>
      </c>
      <c r="F27" s="135" t="s">
        <v>324</v>
      </c>
      <c r="G27" s="264">
        <f>G26</f>
        <v>0</v>
      </c>
      <c r="H27" s="202">
        <f>IF(G27=0,0,1)</f>
        <v>0</v>
      </c>
      <c r="I27" s="139">
        <f>Ред!$E$89</f>
        <v>91.727999999999994</v>
      </c>
      <c r="J27" s="609">
        <f>IFERROR(G27/1000*I27,0)</f>
        <v>0</v>
      </c>
      <c r="K27" s="558"/>
      <c r="L27" s="262">
        <f>G27/1000</f>
        <v>0</v>
      </c>
      <c r="M27" s="243"/>
      <c r="N27" s="243"/>
      <c r="O27" s="243"/>
      <c r="P27" s="259"/>
    </row>
    <row r="28" spans="1:16" x14ac:dyDescent="0.3">
      <c r="A28" s="610" t="s">
        <v>241</v>
      </c>
      <c r="B28" s="611"/>
      <c r="C28" s="611"/>
      <c r="D28" s="611"/>
      <c r="E28" s="611"/>
      <c r="F28" s="611"/>
      <c r="G28" s="611"/>
      <c r="H28" s="611"/>
      <c r="I28" s="611"/>
      <c r="J28" s="611"/>
      <c r="K28" s="611"/>
      <c r="L28" s="226"/>
      <c r="M28" s="226"/>
      <c r="N28" s="226"/>
      <c r="O28" s="258"/>
      <c r="P28" s="257"/>
    </row>
    <row r="29" spans="1:16" x14ac:dyDescent="0.3">
      <c r="A29" s="149">
        <v>1</v>
      </c>
      <c r="B29" s="612" t="s">
        <v>292</v>
      </c>
      <c r="C29" s="612"/>
      <c r="D29" s="612"/>
      <c r="E29" s="60" t="s">
        <v>295</v>
      </c>
      <c r="F29" s="253" t="s">
        <v>325</v>
      </c>
      <c r="G29" s="52"/>
      <c r="H29" s="232">
        <v>0</v>
      </c>
      <c r="I29" s="139">
        <f>Ред!E87*$P$1</f>
        <v>420.25830000000002</v>
      </c>
      <c r="J29" s="609">
        <f>IFERROR(ROUNDUP(H29*I29,1),0)</f>
        <v>0</v>
      </c>
      <c r="K29" s="609"/>
      <c r="L29" s="226"/>
      <c r="M29" s="226"/>
      <c r="N29" s="226"/>
      <c r="O29" s="226"/>
      <c r="P29" s="257"/>
    </row>
    <row r="30" spans="1:16" x14ac:dyDescent="0.3">
      <c r="A30" s="149">
        <v>2</v>
      </c>
      <c r="B30" s="612" t="s">
        <v>294</v>
      </c>
      <c r="C30" s="612"/>
      <c r="D30" s="612"/>
      <c r="E30" s="60" t="s">
        <v>296</v>
      </c>
      <c r="F30" s="253" t="s">
        <v>194</v>
      </c>
      <c r="G30" s="52"/>
      <c r="H30" s="232">
        <v>0</v>
      </c>
      <c r="I30" s="139">
        <f>Ред!E88*$P$1</f>
        <v>932.90610000000015</v>
      </c>
      <c r="J30" s="609">
        <f t="shared" ref="J30:J31" si="1">IFERROR(ROUNDUP(H30*I30,1),0)</f>
        <v>0</v>
      </c>
      <c r="K30" s="609"/>
      <c r="L30" s="226"/>
      <c r="M30" s="226"/>
      <c r="N30" s="226"/>
      <c r="O30" s="226"/>
      <c r="P30" s="257"/>
    </row>
    <row r="31" spans="1:16" x14ac:dyDescent="0.3">
      <c r="A31" s="149">
        <v>3</v>
      </c>
      <c r="B31" s="612" t="s">
        <v>293</v>
      </c>
      <c r="C31" s="612"/>
      <c r="D31" s="612"/>
      <c r="E31" s="60" t="s">
        <v>297</v>
      </c>
      <c r="F31" s="253" t="s">
        <v>194</v>
      </c>
      <c r="G31" s="52"/>
      <c r="H31" s="232">
        <v>0</v>
      </c>
      <c r="I31" s="139">
        <f>Ред!E86*$P$1</f>
        <v>1090.7253000000001</v>
      </c>
      <c r="J31" s="609">
        <f t="shared" si="1"/>
        <v>0</v>
      </c>
      <c r="K31" s="609"/>
      <c r="L31" s="226"/>
      <c r="M31" s="226"/>
      <c r="N31" s="226"/>
      <c r="O31" s="226"/>
      <c r="P31" s="257"/>
    </row>
    <row r="32" spans="1:16" x14ac:dyDescent="0.3">
      <c r="A32" s="239"/>
      <c r="L32" s="226"/>
      <c r="M32" s="226"/>
      <c r="N32" s="226"/>
      <c r="O32" s="226"/>
      <c r="P32" s="257"/>
    </row>
    <row r="33" spans="1:16" x14ac:dyDescent="0.3">
      <c r="A33" s="239"/>
      <c r="D33" s="5"/>
      <c r="E33" s="5"/>
      <c r="F33" s="5"/>
      <c r="G33" s="5"/>
      <c r="H33" s="142" t="s">
        <v>6</v>
      </c>
      <c r="I33" s="142" t="s">
        <v>17</v>
      </c>
      <c r="J33" s="490" t="s">
        <v>27</v>
      </c>
      <c r="K33" s="490"/>
      <c r="L33" s="226"/>
      <c r="M33" s="226"/>
      <c r="N33" s="226"/>
      <c r="O33" s="226"/>
      <c r="P33" s="257"/>
    </row>
    <row r="34" spans="1:16" x14ac:dyDescent="0.3">
      <c r="A34" s="239"/>
      <c r="D34" s="577" t="s">
        <v>300</v>
      </c>
      <c r="E34" s="578"/>
      <c r="F34" s="141"/>
      <c r="G34" s="141"/>
      <c r="H34" s="227">
        <f>SUM(J8:K27)</f>
        <v>0</v>
      </c>
      <c r="I34" s="606"/>
      <c r="J34" s="608">
        <f>ROUNDUP(H34-H34*$I$34,0)</f>
        <v>0</v>
      </c>
      <c r="K34" s="608"/>
      <c r="L34" s="226"/>
      <c r="M34" s="226"/>
      <c r="N34" s="226"/>
      <c r="O34" s="226"/>
      <c r="P34" s="257"/>
    </row>
    <row r="35" spans="1:16" x14ac:dyDescent="0.3">
      <c r="A35" s="239"/>
      <c r="D35" s="577" t="s">
        <v>269</v>
      </c>
      <c r="E35" s="578"/>
      <c r="F35" s="141"/>
      <c r="G35" s="141"/>
      <c r="H35" s="227">
        <f>SUM(J29:K31)</f>
        <v>0</v>
      </c>
      <c r="I35" s="607"/>
      <c r="J35" s="608">
        <f>ROUNDUP(H35-H35*$I$34,0)</f>
        <v>0</v>
      </c>
      <c r="K35" s="608"/>
      <c r="L35" s="226"/>
      <c r="M35" s="226"/>
      <c r="N35" s="226"/>
      <c r="O35" s="226"/>
      <c r="P35" s="257"/>
    </row>
    <row r="36" spans="1:16" ht="15" thickBot="1" x14ac:dyDescent="0.35">
      <c r="A36" s="244"/>
      <c r="B36" s="245"/>
      <c r="C36" s="245"/>
      <c r="D36" s="603" t="s">
        <v>138</v>
      </c>
      <c r="E36" s="604"/>
      <c r="F36" s="246"/>
      <c r="G36" s="246"/>
      <c r="H36" s="603"/>
      <c r="I36" s="604"/>
      <c r="J36" s="605">
        <f>J34+J35</f>
        <v>0</v>
      </c>
      <c r="K36" s="605"/>
      <c r="L36" s="260"/>
      <c r="M36" s="260"/>
      <c r="N36" s="260"/>
      <c r="O36" s="260"/>
      <c r="P36" s="261"/>
    </row>
  </sheetData>
  <mergeCells count="62">
    <mergeCell ref="B15:D15"/>
    <mergeCell ref="B17:D17"/>
    <mergeCell ref="B19:D19"/>
    <mergeCell ref="B21:D21"/>
    <mergeCell ref="B23:D23"/>
    <mergeCell ref="B16:D16"/>
    <mergeCell ref="B18:D18"/>
    <mergeCell ref="B20:D20"/>
    <mergeCell ref="B22:D22"/>
    <mergeCell ref="B14:D14"/>
    <mergeCell ref="D1:K4"/>
    <mergeCell ref="B6:D6"/>
    <mergeCell ref="B8:D8"/>
    <mergeCell ref="B10:D10"/>
    <mergeCell ref="B12:D12"/>
    <mergeCell ref="J6:K6"/>
    <mergeCell ref="B5:K5"/>
    <mergeCell ref="B9:D9"/>
    <mergeCell ref="B11:D11"/>
    <mergeCell ref="B13:D13"/>
    <mergeCell ref="J8:K8"/>
    <mergeCell ref="J9:K9"/>
    <mergeCell ref="J10:K10"/>
    <mergeCell ref="J12:K12"/>
    <mergeCell ref="J14:K14"/>
    <mergeCell ref="J11:K11"/>
    <mergeCell ref="J13:K13"/>
    <mergeCell ref="J22:K22"/>
    <mergeCell ref="B29:D29"/>
    <mergeCell ref="B30:D30"/>
    <mergeCell ref="J29:K29"/>
    <mergeCell ref="J25:K25"/>
    <mergeCell ref="J27:K27"/>
    <mergeCell ref="J15:K15"/>
    <mergeCell ref="J17:K17"/>
    <mergeCell ref="J19:K19"/>
    <mergeCell ref="J21:K21"/>
    <mergeCell ref="J23:K23"/>
    <mergeCell ref="J16:K16"/>
    <mergeCell ref="J18:K18"/>
    <mergeCell ref="J20:K20"/>
    <mergeCell ref="B31:D31"/>
    <mergeCell ref="B24:D24"/>
    <mergeCell ref="B26:D26"/>
    <mergeCell ref="B25:D25"/>
    <mergeCell ref="B27:D27"/>
    <mergeCell ref="N2:P2"/>
    <mergeCell ref="D36:E36"/>
    <mergeCell ref="H36:I36"/>
    <mergeCell ref="J36:K36"/>
    <mergeCell ref="J33:K33"/>
    <mergeCell ref="D34:E34"/>
    <mergeCell ref="I34:I35"/>
    <mergeCell ref="J34:K34"/>
    <mergeCell ref="D35:E35"/>
    <mergeCell ref="J35:K35"/>
    <mergeCell ref="J30:K30"/>
    <mergeCell ref="J31:K31"/>
    <mergeCell ref="A28:K28"/>
    <mergeCell ref="A7:K7"/>
    <mergeCell ref="J24:K24"/>
    <mergeCell ref="J26:K26"/>
  </mergeCells>
  <conditionalFormatting sqref="G9">
    <cfRule type="expression" dxfId="26" priority="10">
      <formula>$G$8=""</formula>
    </cfRule>
  </conditionalFormatting>
  <conditionalFormatting sqref="G11">
    <cfRule type="expression" dxfId="25" priority="9">
      <formula>$G$10=""</formula>
    </cfRule>
  </conditionalFormatting>
  <conditionalFormatting sqref="G13">
    <cfRule type="expression" dxfId="24" priority="8">
      <formula>$G$12=""</formula>
    </cfRule>
  </conditionalFormatting>
  <conditionalFormatting sqref="G15">
    <cfRule type="expression" dxfId="23" priority="7">
      <formula>$G$14=""</formula>
    </cfRule>
  </conditionalFormatting>
  <conditionalFormatting sqref="G17">
    <cfRule type="expression" dxfId="22" priority="6">
      <formula>$G$16=""</formula>
    </cfRule>
  </conditionalFormatting>
  <conditionalFormatting sqref="G19">
    <cfRule type="expression" dxfId="21" priority="5">
      <formula>$G$18=""</formula>
    </cfRule>
  </conditionalFormatting>
  <conditionalFormatting sqref="G21">
    <cfRule type="expression" dxfId="20" priority="4">
      <formula>$G$20=""</formula>
    </cfRule>
  </conditionalFormatting>
  <conditionalFormatting sqref="G23">
    <cfRule type="expression" dxfId="19" priority="3">
      <formula>$G$22=""</formula>
    </cfRule>
  </conditionalFormatting>
  <conditionalFormatting sqref="G25">
    <cfRule type="expression" dxfId="18" priority="2">
      <formula>$G$24=""</formula>
    </cfRule>
  </conditionalFormatting>
  <conditionalFormatting sqref="G27">
    <cfRule type="expression" dxfId="17" priority="1">
      <formula>$G$26=""</formula>
    </cfRule>
  </conditionalFormatting>
  <dataValidations count="1">
    <dataValidation type="decimal" operator="greaterThanOrEqual" allowBlank="1" showInputMessage="1" showErrorMessage="1" sqref="P1" xr:uid="{513D365C-7D16-4954-B127-6A9D0F9A3886}">
      <formula1>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2:AB38"/>
  <sheetViews>
    <sheetView workbookViewId="0">
      <selection activeCell="Q31" sqref="Q31"/>
    </sheetView>
  </sheetViews>
  <sheetFormatPr defaultColWidth="9.109375" defaultRowHeight="14.4" outlineLevelCol="1" x14ac:dyDescent="0.3"/>
  <cols>
    <col min="1" max="1" width="0.5546875" style="39" customWidth="1"/>
    <col min="2" max="2" width="50.5546875" style="41" customWidth="1" outlineLevel="1"/>
    <col min="3" max="3" width="21" style="40" customWidth="1" outlineLevel="1"/>
    <col min="4" max="4" width="11.88671875" style="39" customWidth="1" outlineLevel="1"/>
    <col min="5" max="5" width="11" style="39" customWidth="1" outlineLevel="1"/>
    <col min="6" max="7" width="11.88671875" style="39" customWidth="1" outlineLevel="1"/>
    <col min="8" max="8" width="10.88671875" style="39" customWidth="1" outlineLevel="1"/>
    <col min="9" max="9" width="28.33203125" style="39" customWidth="1" outlineLevel="1"/>
    <col min="10" max="10" width="19.5546875" style="39" customWidth="1" outlineLevel="1"/>
    <col min="11" max="11" width="24.88671875" style="39" customWidth="1" outlineLevel="1"/>
    <col min="12" max="12" width="15.33203125" style="39" customWidth="1" outlineLevel="1"/>
    <col min="13" max="13" width="9.109375" style="39" customWidth="1" outlineLevel="1"/>
    <col min="14" max="14" width="4.33203125" style="39" customWidth="1"/>
    <col min="15" max="15" width="4.109375" style="39" customWidth="1"/>
    <col min="16" max="16" width="57.88671875" style="39" customWidth="1"/>
    <col min="17" max="17" width="23" style="39" customWidth="1"/>
    <col min="18" max="18" width="12.44140625" style="39" customWidth="1"/>
    <col min="19" max="19" width="15.44140625" style="39" customWidth="1"/>
    <col min="20" max="20" width="46.88671875" style="39" customWidth="1"/>
    <col min="21" max="21" width="9.109375" style="39" customWidth="1"/>
    <col min="22" max="22" width="42.33203125" style="39" customWidth="1"/>
    <col min="23" max="24" width="9.109375" style="39" customWidth="1"/>
    <col min="25" max="25" width="58.33203125" style="39" customWidth="1" outlineLevel="1"/>
    <col min="26" max="26" width="25.33203125" style="39" customWidth="1" outlineLevel="1"/>
    <col min="27" max="27" width="26" style="39" customWidth="1" outlineLevel="1"/>
    <col min="28" max="28" width="23.44140625" style="39" customWidth="1" outlineLevel="1"/>
    <col min="29" max="16384" width="9.109375" style="39"/>
  </cols>
  <sheetData>
    <row r="2" spans="2:27" ht="28.8" x14ac:dyDescent="0.3">
      <c r="B2" s="623" t="s">
        <v>71</v>
      </c>
      <c r="C2" s="58" t="s">
        <v>68</v>
      </c>
      <c r="D2" s="650">
        <f>AL_полки!C9</f>
        <v>0</v>
      </c>
      <c r="E2" s="650"/>
      <c r="F2" s="650"/>
      <c r="G2" s="650"/>
      <c r="H2" s="650"/>
      <c r="I2" s="59" t="s">
        <v>128</v>
      </c>
      <c r="J2" s="59" t="s">
        <v>129</v>
      </c>
      <c r="L2" s="39" t="s">
        <v>124</v>
      </c>
      <c r="Y2" s="39" t="s">
        <v>124</v>
      </c>
    </row>
    <row r="3" spans="2:27" x14ac:dyDescent="0.3">
      <c r="B3" s="623"/>
      <c r="C3" s="58" t="s">
        <v>67</v>
      </c>
      <c r="D3" s="650">
        <f>AL_полки!C11</f>
        <v>0</v>
      </c>
      <c r="E3" s="650"/>
      <c r="F3" s="650"/>
      <c r="G3" s="650"/>
      <c r="H3" s="650"/>
      <c r="I3" s="58">
        <f>(D2-20+D2-20+D3-30+D3-30)</f>
        <v>-100</v>
      </c>
      <c r="J3" s="58">
        <f>D2+D2+D3+D3-80</f>
        <v>-80</v>
      </c>
      <c r="O3" s="648" t="s">
        <v>231</v>
      </c>
      <c r="P3" s="648"/>
      <c r="Q3" s="648"/>
      <c r="R3" s="648"/>
      <c r="S3" s="648"/>
      <c r="T3" s="648"/>
      <c r="U3" s="648"/>
      <c r="V3" s="648"/>
    </row>
    <row r="4" spans="2:27" ht="15" thickBot="1" x14ac:dyDescent="0.35">
      <c r="B4" s="57"/>
      <c r="C4" s="43"/>
      <c r="D4" s="43"/>
      <c r="E4" s="43"/>
      <c r="F4" s="43"/>
      <c r="G4" s="43"/>
      <c r="H4" s="43"/>
      <c r="I4" s="43"/>
      <c r="J4" s="49"/>
    </row>
    <row r="5" spans="2:27" s="40" customFormat="1" ht="43.2" x14ac:dyDescent="0.3">
      <c r="B5" s="65" t="s">
        <v>2</v>
      </c>
      <c r="C5" s="43" t="s">
        <v>151</v>
      </c>
      <c r="D5" s="65" t="s">
        <v>70</v>
      </c>
      <c r="E5" s="65" t="s">
        <v>125</v>
      </c>
      <c r="F5" s="65" t="s">
        <v>149</v>
      </c>
      <c r="G5" s="65"/>
      <c r="H5" s="66" t="s">
        <v>126</v>
      </c>
      <c r="I5" s="66" t="s">
        <v>5</v>
      </c>
      <c r="J5" s="66" t="s">
        <v>127</v>
      </c>
      <c r="K5" s="39"/>
      <c r="O5" s="198" t="s">
        <v>115</v>
      </c>
      <c r="P5" s="199" t="s">
        <v>232</v>
      </c>
      <c r="Q5" s="199" t="s">
        <v>233</v>
      </c>
      <c r="R5" s="199" t="s">
        <v>149</v>
      </c>
      <c r="S5" s="199" t="s">
        <v>234</v>
      </c>
      <c r="T5" s="199" t="s">
        <v>235</v>
      </c>
      <c r="U5" s="200" t="s">
        <v>236</v>
      </c>
      <c r="V5" s="201" t="s">
        <v>237</v>
      </c>
      <c r="Y5" s="49" t="s">
        <v>95</v>
      </c>
      <c r="Z5" s="49" t="s">
        <v>5</v>
      </c>
      <c r="AA5" s="49" t="s">
        <v>96</v>
      </c>
    </row>
    <row r="6" spans="2:27" x14ac:dyDescent="0.3">
      <c r="B6" s="630" t="s">
        <v>69</v>
      </c>
      <c r="C6" s="122" t="s">
        <v>152</v>
      </c>
      <c r="D6" s="64">
        <v>-20</v>
      </c>
      <c r="E6" s="64">
        <f>D2+D6</f>
        <v>-20</v>
      </c>
      <c r="F6" s="64">
        <f>1*AL_полки!$G$30</f>
        <v>0</v>
      </c>
      <c r="G6" s="143"/>
      <c r="H6" s="627">
        <f>(E6+E7+E8+E9)*AL_полки!G30</f>
        <v>0</v>
      </c>
      <c r="I6" s="627" t="e">
        <f>$Z$6</f>
        <v>#N/A</v>
      </c>
      <c r="J6" s="641" t="e">
        <f>((H6*$AA$6)/1000)/AL_полки!G30</f>
        <v>#N/A</v>
      </c>
      <c r="K6" s="5"/>
      <c r="O6" s="149"/>
      <c r="P6" s="158" t="s">
        <v>15</v>
      </c>
      <c r="Q6" s="158" t="s">
        <v>5</v>
      </c>
      <c r="R6" s="158" t="s">
        <v>238</v>
      </c>
      <c r="S6" s="158" t="s">
        <v>239</v>
      </c>
      <c r="T6" s="159" t="s">
        <v>16</v>
      </c>
      <c r="U6" s="159" t="s">
        <v>8</v>
      </c>
      <c r="V6" s="160"/>
      <c r="Y6" s="633" t="s">
        <v>122</v>
      </c>
      <c r="Z6" s="638" t="e">
        <f>VLOOKUP(AL_полки!$C$7,'Расчет полки'!$Y$20:$AA$22,2,FALSE)</f>
        <v>#N/A</v>
      </c>
      <c r="AA6" s="624" t="e">
        <f>VLOOKUP(Z6,Ред!B:F,4,FALSE)</f>
        <v>#N/A</v>
      </c>
    </row>
    <row r="7" spans="2:27" ht="15.6" x14ac:dyDescent="0.3">
      <c r="B7" s="631"/>
      <c r="C7" s="122" t="s">
        <v>153</v>
      </c>
      <c r="D7" s="64">
        <v>-20</v>
      </c>
      <c r="E7" s="64">
        <f>E6</f>
        <v>-20</v>
      </c>
      <c r="F7" s="64">
        <f>1*AL_полки!$G$30</f>
        <v>0</v>
      </c>
      <c r="G7" s="146"/>
      <c r="H7" s="628"/>
      <c r="I7" s="628"/>
      <c r="J7" s="642"/>
      <c r="K7" s="15"/>
      <c r="L7" s="255"/>
      <c r="M7" s="360"/>
      <c r="O7" s="149">
        <v>1</v>
      </c>
      <c r="P7" s="45" t="str">
        <f>B6</f>
        <v>Размеры базовых профилей обрамления CKRU0559</v>
      </c>
      <c r="Q7" s="151" t="e">
        <f>I6</f>
        <v>#N/A</v>
      </c>
      <c r="R7" s="152">
        <f>H6/5300</f>
        <v>0</v>
      </c>
      <c r="S7" s="49"/>
      <c r="T7" s="45" t="str">
        <f>CONCATENATE(E6,"","мм","-",F6,"шт",", ",E7,"","мм","-",F7,"шт",", ",E8,"","мм","-",F8,"шт",", ",E9,"","мм","-",F9,"шт",)</f>
        <v>-20мм-0шт, -20мм-0шт, -20мм-0шт, -20мм-0шт</v>
      </c>
      <c r="U7" s="49">
        <f>AL_полки!$G$30</f>
        <v>0</v>
      </c>
      <c r="V7" s="150" t="s">
        <v>240</v>
      </c>
      <c r="Y7" s="634"/>
      <c r="Z7" s="639"/>
      <c r="AA7" s="625"/>
    </row>
    <row r="8" spans="2:27" ht="15.6" x14ac:dyDescent="0.3">
      <c r="B8" s="631"/>
      <c r="C8" s="122" t="s">
        <v>154</v>
      </c>
      <c r="D8" s="64">
        <v>-20</v>
      </c>
      <c r="E8" s="64">
        <f>D3+D8</f>
        <v>-20</v>
      </c>
      <c r="F8" s="64">
        <f>1*AL_полки!$G$30</f>
        <v>0</v>
      </c>
      <c r="G8" s="146"/>
      <c r="H8" s="628"/>
      <c r="I8" s="628"/>
      <c r="J8" s="642"/>
      <c r="K8" s="5"/>
      <c r="L8" s="134"/>
      <c r="M8" s="360"/>
      <c r="O8" s="149">
        <v>2</v>
      </c>
      <c r="P8" s="45" t="str">
        <f>B11</f>
        <v>Размеры профилей-крышек
(алюминиевая CKRU0558)</v>
      </c>
      <c r="Q8" s="151" t="e">
        <f>I11</f>
        <v>#N/A</v>
      </c>
      <c r="R8" s="152">
        <f>$H$11/5300</f>
        <v>0</v>
      </c>
      <c r="S8" s="45" t="str">
        <f>IF(F11=0,"",CONCATENATE(E11,"","мм","-",F11,"шт"))</f>
        <v/>
      </c>
      <c r="T8" s="153" t="str">
        <f>CONCATENATE(G11,G12,G13,G14)</f>
        <v xml:space="preserve">   </v>
      </c>
      <c r="U8" s="49">
        <f>AL_полки!$G$30</f>
        <v>0</v>
      </c>
      <c r="V8" s="150" t="s">
        <v>240</v>
      </c>
      <c r="Y8" s="635"/>
      <c r="Z8" s="640"/>
      <c r="AA8" s="626"/>
    </row>
    <row r="9" spans="2:27" ht="15.6" x14ac:dyDescent="0.3">
      <c r="B9" s="632"/>
      <c r="C9" s="122" t="s">
        <v>155</v>
      </c>
      <c r="D9" s="64">
        <v>-20</v>
      </c>
      <c r="E9" s="64">
        <f>E8</f>
        <v>-20</v>
      </c>
      <c r="F9" s="64">
        <f>1*AL_полки!$G$30</f>
        <v>0</v>
      </c>
      <c r="G9" s="144"/>
      <c r="H9" s="629"/>
      <c r="I9" s="629"/>
      <c r="J9" s="643"/>
      <c r="K9" s="5"/>
      <c r="L9" s="134"/>
      <c r="M9" s="360"/>
      <c r="O9" s="149">
        <v>3</v>
      </c>
      <c r="P9" s="49" t="str">
        <f>B16</f>
        <v>Рассеиватель для полки с подсветкой</v>
      </c>
      <c r="Q9" s="49" t="e">
        <f>Z12</f>
        <v>#N/A</v>
      </c>
      <c r="R9" s="48">
        <f>H16/2600</f>
        <v>0</v>
      </c>
      <c r="S9" s="49"/>
      <c r="T9" s="153" t="str">
        <f>CONCATENATE(G16,G17,G18,G19)</f>
        <v xml:space="preserve">   </v>
      </c>
      <c r="U9" s="49">
        <f>AL_полки!$G$30</f>
        <v>0</v>
      </c>
      <c r="V9" s="150" t="s">
        <v>240</v>
      </c>
      <c r="Y9" s="113"/>
      <c r="Z9" s="114"/>
      <c r="AA9" s="115"/>
    </row>
    <row r="10" spans="2:27" ht="15.6" x14ac:dyDescent="0.3">
      <c r="B10" s="118"/>
      <c r="C10" s="119"/>
      <c r="D10" s="120"/>
      <c r="E10" s="120"/>
      <c r="F10" s="120"/>
      <c r="G10" s="120"/>
      <c r="H10" s="121"/>
      <c r="I10" s="121"/>
      <c r="J10" s="361"/>
      <c r="K10" s="5"/>
      <c r="L10" s="134"/>
      <c r="M10" s="360"/>
      <c r="O10" s="149">
        <v>4</v>
      </c>
      <c r="P10" s="49">
        <f>B21</f>
        <v>0</v>
      </c>
      <c r="Q10" s="49" t="e">
        <f>$L$21</f>
        <v>#N/A</v>
      </c>
      <c r="R10" s="49">
        <f>F21</f>
        <v>0</v>
      </c>
      <c r="S10" s="49" t="str">
        <f>CONCATENATE("В ",E21,", ","Ш ",E22)</f>
        <v>В -6, Ш -6</v>
      </c>
      <c r="T10" s="49"/>
      <c r="U10" s="49">
        <f>R10</f>
        <v>0</v>
      </c>
      <c r="V10" s="150" t="s">
        <v>278</v>
      </c>
      <c r="Y10" s="636" t="s">
        <v>123</v>
      </c>
      <c r="Z10" s="638" t="e">
        <f>VLOOKUP(AL_полки!$C$7,'Расчет полки'!$Y$20:$AA$22,3,FALSE)</f>
        <v>#N/A</v>
      </c>
      <c r="AA10" s="624" t="e">
        <f>VLOOKUP(Z10,Ред!B:F,4,FALSE)</f>
        <v>#N/A</v>
      </c>
    </row>
    <row r="11" spans="2:27" ht="15.6" x14ac:dyDescent="0.3">
      <c r="B11" s="630" t="s">
        <v>121</v>
      </c>
      <c r="C11" s="122" t="s">
        <v>152</v>
      </c>
      <c r="D11" s="64">
        <v>-20</v>
      </c>
      <c r="E11" s="64">
        <f>D2+D11</f>
        <v>-20</v>
      </c>
      <c r="F11" s="64">
        <f>IF(F16=0,1*AL_полки!G30,0)</f>
        <v>0</v>
      </c>
      <c r="G11" s="143" t="str">
        <f>IF(F11=0,"",CONCATENATE(E11,"мм","","-",F11,"шт,"))</f>
        <v/>
      </c>
      <c r="H11" s="644">
        <f>(E11*F11)+(E12*F12)+(E13*F13)+(E14*F14)</f>
        <v>0</v>
      </c>
      <c r="I11" s="644" t="e">
        <f>$Z$10</f>
        <v>#N/A</v>
      </c>
      <c r="J11" s="647" t="e">
        <f>(H11*$AA$10/1000)/AL_полки!G30</f>
        <v>#N/A</v>
      </c>
      <c r="K11" s="5"/>
      <c r="L11" s="134"/>
      <c r="M11" s="360"/>
      <c r="O11" s="149">
        <v>5</v>
      </c>
      <c r="P11" s="49" t="str">
        <f>B23</f>
        <v>Уголок сборочный, для полки с подсветкой</v>
      </c>
      <c r="Q11" s="49" t="e">
        <f>Z15</f>
        <v>#N/A</v>
      </c>
      <c r="R11" s="49">
        <f>F23</f>
        <v>0</v>
      </c>
      <c r="S11" s="49"/>
      <c r="T11" s="49"/>
      <c r="U11" s="49">
        <f>R11</f>
        <v>0</v>
      </c>
      <c r="V11" s="150" t="s">
        <v>240</v>
      </c>
      <c r="Y11" s="637"/>
      <c r="Z11" s="640"/>
      <c r="AA11" s="626"/>
    </row>
    <row r="12" spans="2:27" ht="15.6" x14ac:dyDescent="0.3">
      <c r="B12" s="631"/>
      <c r="C12" s="122" t="s">
        <v>153</v>
      </c>
      <c r="D12" s="64">
        <v>-20</v>
      </c>
      <c r="E12" s="116">
        <f>E11</f>
        <v>-20</v>
      </c>
      <c r="F12" s="64">
        <f>IF(F17=0,1*AL_полки!G30,0)</f>
        <v>0</v>
      </c>
      <c r="G12" s="143" t="str">
        <f>IF(F12=0," ",CONCATENATE(E12,"мм","","-",F12,"шт,"))</f>
        <v xml:space="preserve"> </v>
      </c>
      <c r="H12" s="645"/>
      <c r="I12" s="645"/>
      <c r="J12" s="647"/>
      <c r="K12" s="5"/>
      <c r="L12" s="134"/>
      <c r="M12" s="360"/>
      <c r="O12" s="149">
        <v>6</v>
      </c>
      <c r="P12" s="49" t="str">
        <f>B24</f>
        <v>Уплотнитель П-образный, 4 мм, с шипами, прозрачный (100 м)</v>
      </c>
      <c r="Q12" s="49" t="str">
        <f>I24</f>
        <v>AA0084.VM100.TR000.RK</v>
      </c>
      <c r="R12" s="48">
        <f>F24/1000</f>
        <v>0</v>
      </c>
      <c r="S12" s="49"/>
      <c r="T12" s="49"/>
      <c r="U12" s="49">
        <f>AL_полки!$G$30</f>
        <v>0</v>
      </c>
      <c r="V12" s="150" t="s">
        <v>240</v>
      </c>
      <c r="Y12" s="46" t="s">
        <v>120</v>
      </c>
      <c r="Z12" s="46" t="e">
        <f>VLOOKUP(AL_полки!D14,'Расчет полки'!Y24:Z25,2,FALSE)</f>
        <v>#N/A</v>
      </c>
      <c r="AA12" s="251">
        <f>Ред!E33</f>
        <v>520.27052307692293</v>
      </c>
    </row>
    <row r="13" spans="2:27" ht="15.6" x14ac:dyDescent="0.3">
      <c r="B13" s="631"/>
      <c r="C13" s="122" t="s">
        <v>154</v>
      </c>
      <c r="D13" s="64">
        <v>-30</v>
      </c>
      <c r="E13" s="64">
        <f>D3+D13</f>
        <v>-30</v>
      </c>
      <c r="F13" s="64">
        <f>IF(F18=0,1*AL_полки!G30,0)</f>
        <v>0</v>
      </c>
      <c r="G13" s="143" t="str">
        <f>IF(F13=0," ",CONCATENATE(E13,"мм","","-",F13,"шт,"))</f>
        <v xml:space="preserve"> </v>
      </c>
      <c r="H13" s="645"/>
      <c r="I13" s="645"/>
      <c r="J13" s="647"/>
      <c r="K13" s="5"/>
      <c r="L13" s="134"/>
      <c r="M13" s="360"/>
      <c r="O13" s="149">
        <v>7</v>
      </c>
      <c r="P13" s="49" t="str">
        <f>B33</f>
        <v>Светодиодная лента NLS 5м</v>
      </c>
      <c r="Q13" s="154">
        <f>xml!B75</f>
        <v>0</v>
      </c>
      <c r="R13" s="48">
        <f>IF(ISNA(Q13),0,xml!G75)</f>
        <v>0</v>
      </c>
      <c r="S13" s="49"/>
      <c r="T13" s="49"/>
      <c r="U13" s="49">
        <f>F35</f>
        <v>0</v>
      </c>
      <c r="V13" s="150" t="s">
        <v>240</v>
      </c>
      <c r="Y13" s="46"/>
      <c r="Z13" s="46"/>
      <c r="AA13" s="47"/>
    </row>
    <row r="14" spans="2:27" ht="15.6" x14ac:dyDescent="0.3">
      <c r="B14" s="632"/>
      <c r="C14" s="122" t="s">
        <v>155</v>
      </c>
      <c r="D14" s="64">
        <v>-30</v>
      </c>
      <c r="E14" s="64">
        <f>E13</f>
        <v>-30</v>
      </c>
      <c r="F14" s="64">
        <f>IF(F19=0,1*AL_полки!G30,0)</f>
        <v>0</v>
      </c>
      <c r="G14" s="143" t="str">
        <f>IF(F14=0," ",CONCATENATE(E14,"мм","","-",F14,"шт"))</f>
        <v xml:space="preserve"> </v>
      </c>
      <c r="H14" s="646"/>
      <c r="I14" s="646"/>
      <c r="J14" s="647"/>
      <c r="K14" s="5"/>
      <c r="L14" s="134"/>
      <c r="M14" s="360"/>
      <c r="O14" s="149">
        <v>8</v>
      </c>
      <c r="P14" s="49" t="s">
        <v>110</v>
      </c>
      <c r="Q14" s="155" t="str">
        <f>xml!B76</f>
        <v/>
      </c>
      <c r="R14" s="50">
        <f>xml!G76</f>
        <v>0</v>
      </c>
      <c r="S14" s="49"/>
      <c r="T14" s="49"/>
      <c r="U14" s="49">
        <v>0</v>
      </c>
      <c r="V14" s="150" t="s">
        <v>241</v>
      </c>
      <c r="Y14" s="46"/>
      <c r="Z14" s="46"/>
      <c r="AA14" s="47"/>
    </row>
    <row r="15" spans="2:27" x14ac:dyDescent="0.3">
      <c r="B15" s="118"/>
      <c r="C15" s="119"/>
      <c r="D15" s="120"/>
      <c r="E15" s="120"/>
      <c r="F15" s="120"/>
      <c r="G15" s="120"/>
      <c r="H15" s="121"/>
      <c r="I15" s="121"/>
      <c r="J15" s="361"/>
      <c r="K15" s="5"/>
      <c r="L15" s="250"/>
      <c r="O15" s="149">
        <v>9</v>
      </c>
      <c r="P15" s="49" t="s">
        <v>111</v>
      </c>
      <c r="Q15" s="155" t="str">
        <f>xml!B77</f>
        <v>15.009.04.013</v>
      </c>
      <c r="R15" s="50">
        <f>xml!G77</f>
        <v>0</v>
      </c>
      <c r="S15" s="49"/>
      <c r="T15" s="49"/>
      <c r="U15" s="49">
        <v>0</v>
      </c>
      <c r="V15" s="150" t="s">
        <v>240</v>
      </c>
      <c r="Y15" s="49" t="s">
        <v>277</v>
      </c>
      <c r="Z15" s="49" t="e">
        <f>VLOOKUP(AL_полки!$C$7,'Расчет полки'!$Y$20:$AB$22,4,FALSE)</f>
        <v>#N/A</v>
      </c>
      <c r="AA15" s="251">
        <f>Ред!E35</f>
        <v>1291.3763999999999</v>
      </c>
    </row>
    <row r="16" spans="2:27" x14ac:dyDescent="0.3">
      <c r="B16" s="656" t="s">
        <v>120</v>
      </c>
      <c r="C16" s="122" t="s">
        <v>152</v>
      </c>
      <c r="D16" s="64">
        <v>-20</v>
      </c>
      <c r="E16" s="64">
        <f>D2+D16</f>
        <v>-20</v>
      </c>
      <c r="F16" s="64">
        <f>VLOOKUP(AL_полки!$C$14,AL_полки!$AB$3:$AG$11,3,FALSE)</f>
        <v>0</v>
      </c>
      <c r="G16" s="143" t="str">
        <f>IF(F16=0,"",CONCATENATE(E16,"мм","","-",F16,"шт,"))</f>
        <v/>
      </c>
      <c r="H16" s="644">
        <f>(E16*F16)+(E17*F17)+(E18*F18)+(E19*F19)</f>
        <v>0</v>
      </c>
      <c r="I16" s="649" t="e">
        <f>Z12</f>
        <v>#N/A</v>
      </c>
      <c r="J16" s="647" t="e">
        <f>IF(AL_полки!$B$14=AL_полки!$Z$3,0,((H16*$AA$12)/1000)/AL_полки!G30)</f>
        <v>#DIV/0!</v>
      </c>
      <c r="O16" s="149">
        <v>10</v>
      </c>
      <c r="P16" s="49" t="s">
        <v>440</v>
      </c>
      <c r="Q16" s="155" t="str">
        <f>xml!B78</f>
        <v>19.143.36.410</v>
      </c>
      <c r="R16" s="50">
        <f>xml!G78</f>
        <v>0</v>
      </c>
      <c r="S16" s="49"/>
      <c r="T16" s="49"/>
      <c r="U16" s="49">
        <v>0</v>
      </c>
      <c r="V16" s="150" t="s">
        <v>241</v>
      </c>
    </row>
    <row r="17" spans="2:28" x14ac:dyDescent="0.3">
      <c r="B17" s="657"/>
      <c r="C17" s="122" t="s">
        <v>153</v>
      </c>
      <c r="D17" s="64">
        <v>-20</v>
      </c>
      <c r="E17" s="116">
        <f>E16</f>
        <v>-20</v>
      </c>
      <c r="F17" s="64">
        <f>VLOOKUP(AL_полки!$C$14,AL_полки!$AB$3:$AG$11,4,FALSE)</f>
        <v>0</v>
      </c>
      <c r="G17" s="143" t="str">
        <f>IF(F17=0," ",CONCATENATE(E17,"мм","","-",F17,"шт,"))</f>
        <v xml:space="preserve"> </v>
      </c>
      <c r="H17" s="645"/>
      <c r="I17" s="649"/>
      <c r="J17" s="647"/>
      <c r="K17" s="15"/>
      <c r="O17" s="149">
        <v>11</v>
      </c>
      <c r="P17" s="49" t="s">
        <v>441</v>
      </c>
      <c r="Q17" s="155" t="str">
        <f>xml!B79</f>
        <v>15.800.00.041</v>
      </c>
      <c r="R17" s="50">
        <f>xml!G79</f>
        <v>0</v>
      </c>
      <c r="S17" s="49"/>
      <c r="T17" s="49"/>
      <c r="U17" s="49">
        <v>0</v>
      </c>
      <c r="V17" s="150" t="s">
        <v>241</v>
      </c>
    </row>
    <row r="18" spans="2:28" ht="15.6" x14ac:dyDescent="0.3">
      <c r="B18" s="657"/>
      <c r="C18" s="122" t="s">
        <v>154</v>
      </c>
      <c r="D18" s="64">
        <v>-30</v>
      </c>
      <c r="E18" s="64">
        <f>D3+D18</f>
        <v>-30</v>
      </c>
      <c r="F18" s="64">
        <f>VLOOKUP(AL_полки!$C$14,AL_полки!$AB$3:$AG$11,5,FALSE)</f>
        <v>0</v>
      </c>
      <c r="G18" s="143" t="str">
        <f>IF(F18=0," ",CONCATENATE(E18,"мм","","-",F18,"шт,"))</f>
        <v xml:space="preserve"> </v>
      </c>
      <c r="H18" s="645"/>
      <c r="I18" s="649"/>
      <c r="J18" s="647"/>
      <c r="K18" s="5"/>
      <c r="L18" s="44"/>
      <c r="O18" s="149">
        <v>12</v>
      </c>
      <c r="P18" s="49" t="s">
        <v>242</v>
      </c>
      <c r="Q18" s="155" t="s">
        <v>243</v>
      </c>
      <c r="R18" s="49">
        <f>IF(D2&gt;550,2*U18,1*U18)</f>
        <v>0</v>
      </c>
      <c r="S18" s="49"/>
      <c r="T18" s="49"/>
      <c r="U18" s="49">
        <f>AL_полки!$G$30</f>
        <v>0</v>
      </c>
      <c r="V18" s="150" t="s">
        <v>240</v>
      </c>
      <c r="Z18" s="622" t="s">
        <v>317</v>
      </c>
      <c r="AA18" s="622"/>
      <c r="AB18" s="622"/>
    </row>
    <row r="19" spans="2:28" ht="15.6" x14ac:dyDescent="0.3">
      <c r="B19" s="658"/>
      <c r="C19" s="122" t="s">
        <v>155</v>
      </c>
      <c r="D19" s="64">
        <v>-30</v>
      </c>
      <c r="E19" s="64">
        <f>E18</f>
        <v>-30</v>
      </c>
      <c r="F19" s="64">
        <f>VLOOKUP(AL_полки!$C$14,AL_полки!$AB$3:$AG$11,6,FALSE)</f>
        <v>0</v>
      </c>
      <c r="G19" s="143" t="str">
        <f>IF(F19=0," ",CONCATENATE(E19,"мм","","-",F19,"шт"))</f>
        <v xml:space="preserve"> </v>
      </c>
      <c r="H19" s="646"/>
      <c r="I19" s="649"/>
      <c r="J19" s="647"/>
      <c r="K19" s="5"/>
      <c r="L19" s="44"/>
      <c r="O19" s="149">
        <v>13</v>
      </c>
      <c r="P19" s="49" t="s">
        <v>244</v>
      </c>
      <c r="Q19" s="155" t="s">
        <v>245</v>
      </c>
      <c r="R19" s="49">
        <f>(D2+D3)*2/1000*U19</f>
        <v>0</v>
      </c>
      <c r="S19" s="49"/>
      <c r="T19" s="49"/>
      <c r="U19" s="49">
        <f>AL_полки!$G$30</f>
        <v>0</v>
      </c>
      <c r="V19" s="150" t="s">
        <v>240</v>
      </c>
      <c r="Y19" s="49" t="s">
        <v>316</v>
      </c>
      <c r="Z19" s="49" t="s">
        <v>313</v>
      </c>
      <c r="AA19" s="49" t="s">
        <v>314</v>
      </c>
      <c r="AB19" s="49" t="s">
        <v>315</v>
      </c>
    </row>
    <row r="20" spans="2:28" x14ac:dyDescent="0.3">
      <c r="B20" s="118"/>
      <c r="C20" s="119"/>
      <c r="D20" s="120"/>
      <c r="E20" s="120"/>
      <c r="F20" s="120"/>
      <c r="G20" s="120"/>
      <c r="H20" s="121"/>
      <c r="I20" s="121"/>
      <c r="J20" s="361"/>
      <c r="K20" s="5"/>
      <c r="O20" s="149">
        <v>14</v>
      </c>
      <c r="P20" s="132" t="s">
        <v>246</v>
      </c>
      <c r="Q20" s="155" t="s">
        <v>247</v>
      </c>
      <c r="R20" s="49">
        <f>0.02*U20</f>
        <v>0</v>
      </c>
      <c r="S20" s="49"/>
      <c r="T20" s="49"/>
      <c r="U20" s="49">
        <f>AL_полки!$G$30</f>
        <v>0</v>
      </c>
      <c r="V20" s="150" t="s">
        <v>240</v>
      </c>
      <c r="Y20" s="49" t="s">
        <v>114</v>
      </c>
      <c r="Z20" s="49" t="str">
        <f>Ред!$B$27</f>
        <v>DE0559.VP540.SLMAN.CJ</v>
      </c>
      <c r="AA20" s="60" t="str">
        <f>Ред!$B$30</f>
        <v>DE0558.VP540.SLMAN.CJ</v>
      </c>
      <c r="AB20" s="49" t="str">
        <f>Ред!$B$35</f>
        <v>DE0253.VS000.SLMPC.CN</v>
      </c>
    </row>
    <row r="21" spans="2:28" x14ac:dyDescent="0.3">
      <c r="B21" s="655">
        <f>I21</f>
        <v>0</v>
      </c>
      <c r="C21" s="43" t="s">
        <v>68</v>
      </c>
      <c r="D21" s="64">
        <v>-6</v>
      </c>
      <c r="E21" s="254">
        <f>$D$2+D21</f>
        <v>-6</v>
      </c>
      <c r="F21" s="659">
        <f>1*AL_полки!G30</f>
        <v>0</v>
      </c>
      <c r="G21" s="39" t="b">
        <f>IFERROR(INDEX(Вставки[Обработка],MATCH(L21,Вставки[арт],0))=1,FALSE)</f>
        <v>0</v>
      </c>
      <c r="H21" s="50">
        <f>Ред!$E$91</f>
        <v>198.79999999999998</v>
      </c>
      <c r="I21" s="627">
        <f>AL_полки!E14</f>
        <v>0</v>
      </c>
      <c r="J21" s="647">
        <f>IF($B$21=0, 0, E21*E22*L22/1000000 + H22)</f>
        <v>0</v>
      </c>
      <c r="K21" s="5" t="s">
        <v>580</v>
      </c>
      <c r="L21" s="39" t="e">
        <f>INDEX(ПолкиВставкиИРА[арт],MATCH(B21,ПолкиВставкиИРА[ира],0))</f>
        <v>#N/A</v>
      </c>
      <c r="O21" s="149">
        <v>15</v>
      </c>
      <c r="P21" s="49" t="s">
        <v>475</v>
      </c>
      <c r="Q21" s="155" t="s">
        <v>474</v>
      </c>
      <c r="R21" s="48">
        <f>(((D3*2)/1000)+0.5)/66</f>
        <v>7.575757575757576E-3</v>
      </c>
      <c r="S21" s="49"/>
      <c r="T21" s="49"/>
      <c r="U21" s="49">
        <f>AL_полки!G30</f>
        <v>0</v>
      </c>
      <c r="V21" s="150" t="s">
        <v>240</v>
      </c>
      <c r="Y21" s="49" t="s">
        <v>45</v>
      </c>
      <c r="Z21" s="49" t="str">
        <f>Ред!$B$28</f>
        <v>DE0559.VP540.BKSPC.CJ</v>
      </c>
      <c r="AA21" s="60" t="str">
        <f>Ред!$B$31</f>
        <v>DE0558.VP540.BKSPC.CJ</v>
      </c>
      <c r="AB21" s="49" t="str">
        <f>Ред!$B$36</f>
        <v>DE0253.VS000.BKSPC.CN</v>
      </c>
    </row>
    <row r="22" spans="2:28" x14ac:dyDescent="0.3">
      <c r="B22" s="655"/>
      <c r="C22" s="43" t="s">
        <v>67</v>
      </c>
      <c r="D22" s="64">
        <v>-6</v>
      </c>
      <c r="E22" s="254">
        <f>$D$3+D22</f>
        <v>-6</v>
      </c>
      <c r="F22" s="660"/>
      <c r="G22" s="358" t="s">
        <v>573</v>
      </c>
      <c r="H22" s="359">
        <f>IF(G21, E21*E22*2/1000000*H21, 0)</f>
        <v>0</v>
      </c>
      <c r="I22" s="629"/>
      <c r="J22" s="647"/>
      <c r="K22" s="5" t="s">
        <v>581</v>
      </c>
      <c r="L22" s="39" t="e">
        <f>INDEX(Ред!$E:$E,MATCH(L21,Ред!$B:$B,0))</f>
        <v>#N/A</v>
      </c>
      <c r="O22" s="149">
        <v>16</v>
      </c>
      <c r="P22" s="49" t="s">
        <v>248</v>
      </c>
      <c r="Q22" s="155" t="s">
        <v>249</v>
      </c>
      <c r="R22" s="48">
        <f>((D3*8/1000)+0.5)/45</f>
        <v>1.1111111111111112E-2</v>
      </c>
      <c r="S22" s="49"/>
      <c r="T22" s="49"/>
      <c r="U22" s="49">
        <f>AL_полки!$G$30</f>
        <v>0</v>
      </c>
      <c r="V22" s="150" t="s">
        <v>240</v>
      </c>
      <c r="Y22" s="49" t="s">
        <v>312</v>
      </c>
      <c r="Z22" s="49" t="str">
        <f>Ред!$B$29</f>
        <v>DE0559.VP540.CHMAN.CJ</v>
      </c>
      <c r="AA22" s="60" t="str">
        <f>Ред!$B$32</f>
        <v>DE0558.VP540.CHMAN.CJ</v>
      </c>
      <c r="AB22" s="49" t="str">
        <f>Ред!$B$37</f>
        <v>DE0253.VS000.CHMPC.CS</v>
      </c>
    </row>
    <row r="23" spans="2:28" ht="15.6" x14ac:dyDescent="0.3">
      <c r="B23" s="187" t="s">
        <v>277</v>
      </c>
      <c r="C23" s="43"/>
      <c r="D23" s="64"/>
      <c r="E23" s="64"/>
      <c r="F23" s="64">
        <f>1*AL_полки!G30</f>
        <v>0</v>
      </c>
      <c r="G23" s="64"/>
      <c r="H23" s="42"/>
      <c r="I23" s="42"/>
      <c r="J23" s="79">
        <f>AA15</f>
        <v>1291.3763999999999</v>
      </c>
      <c r="K23" s="5"/>
      <c r="L23" s="44"/>
      <c r="O23" s="149">
        <v>17</v>
      </c>
      <c r="P23" s="49" t="s">
        <v>250</v>
      </c>
      <c r="Q23" s="155" t="s">
        <v>251</v>
      </c>
      <c r="R23" s="49">
        <f>((D3*2/1000)+0.5)</f>
        <v>0.5</v>
      </c>
      <c r="S23" s="49"/>
      <c r="T23" s="49"/>
      <c r="U23" s="49">
        <f>AL_полки!$G$30</f>
        <v>0</v>
      </c>
      <c r="V23" s="150" t="s">
        <v>240</v>
      </c>
    </row>
    <row r="24" spans="2:28" ht="25.2" customHeight="1" thickBot="1" x14ac:dyDescent="0.35">
      <c r="B24" s="123" t="str">
        <f>IF(AL_полки!$C$7="черный матовый",Ред!A38,Ред!A39)</f>
        <v>Уплотнитель П-образный, 4 мм, с шипами, прозрачный (100 м)</v>
      </c>
      <c r="C24" s="42" t="s">
        <v>73</v>
      </c>
      <c r="D24" s="64">
        <f>H6</f>
        <v>0</v>
      </c>
      <c r="E24" s="64"/>
      <c r="F24" s="64">
        <f>((E21+E22)*2)*AL_полки!G30</f>
        <v>0</v>
      </c>
      <c r="G24" s="64"/>
      <c r="H24" s="42"/>
      <c r="I24" s="42" t="str">
        <f>IF(AL_полки!$C$7="черный матовый",Ред!B38,Ред!B39)</f>
        <v>AA0084.VM100.TR000.RK</v>
      </c>
      <c r="J24" s="79" t="e">
        <f>(D24*Ред!E38/1000)/AL_полки!G30</f>
        <v>#DIV/0!</v>
      </c>
      <c r="K24" s="5"/>
      <c r="L24" s="44"/>
      <c r="O24" s="149">
        <v>18</v>
      </c>
      <c r="P24" s="156" t="s">
        <v>279</v>
      </c>
      <c r="Q24" s="156" t="s">
        <v>280</v>
      </c>
      <c r="R24" s="156">
        <v>1</v>
      </c>
      <c r="S24" s="156"/>
      <c r="T24" s="156"/>
      <c r="U24" s="156">
        <v>1</v>
      </c>
      <c r="V24" s="157" t="s">
        <v>240</v>
      </c>
      <c r="Y24" s="49" t="s">
        <v>320</v>
      </c>
      <c r="Z24" s="49" t="str">
        <f>Ред!B33</f>
        <v>DE0251.AP270.WHM00.CS</v>
      </c>
    </row>
    <row r="25" spans="2:28" ht="15.6" x14ac:dyDescent="0.3">
      <c r="B25" s="651" t="s">
        <v>133</v>
      </c>
      <c r="C25" s="652"/>
      <c r="D25" s="652"/>
      <c r="E25" s="652"/>
      <c r="F25" s="652"/>
      <c r="G25" s="652"/>
      <c r="H25" s="652"/>
      <c r="I25" s="653"/>
      <c r="J25" s="79"/>
      <c r="K25" s="41"/>
      <c r="L25" s="44"/>
      <c r="Y25" s="49" t="s">
        <v>42</v>
      </c>
      <c r="Z25" s="49" t="str">
        <f>Ред!B34</f>
        <v>DE0251.AP270.BKM00.CS</v>
      </c>
    </row>
    <row r="26" spans="2:28" ht="15.6" x14ac:dyDescent="0.3">
      <c r="B26" s="357" t="s">
        <v>575</v>
      </c>
      <c r="C26" s="354" t="e">
        <f>INDEX(Вставки[Обработка],MATCH(B9,Вставки[арт],0)) = 1</f>
        <v>#N/A</v>
      </c>
      <c r="D26" s="354"/>
      <c r="E26" s="354"/>
      <c r="F26" s="354"/>
      <c r="G26" s="354"/>
      <c r="H26" s="354"/>
      <c r="I26" s="355"/>
      <c r="J26" s="79"/>
      <c r="K26" s="41"/>
      <c r="L26" s="44"/>
    </row>
    <row r="27" spans="2:28" ht="15.6" x14ac:dyDescent="0.3">
      <c r="B27" s="72" t="s">
        <v>134</v>
      </c>
      <c r="C27" s="43"/>
      <c r="D27" s="49"/>
      <c r="E27" s="49"/>
      <c r="F27" s="62">
        <f>1*AL_полки!G30</f>
        <v>0</v>
      </c>
      <c r="G27" s="62"/>
      <c r="H27" s="49"/>
      <c r="I27" s="49"/>
      <c r="J27" s="79">
        <v>413</v>
      </c>
      <c r="K27" s="41"/>
      <c r="L27" s="44"/>
    </row>
    <row r="28" spans="2:28" ht="15.6" x14ac:dyDescent="0.3">
      <c r="B28" s="72" t="s">
        <v>97</v>
      </c>
      <c r="C28" s="43"/>
      <c r="D28" s="49"/>
      <c r="E28" s="49"/>
      <c r="F28" s="62">
        <f>1*AL_полки!G30</f>
        <v>0</v>
      </c>
      <c r="G28" s="62"/>
      <c r="H28" s="49"/>
      <c r="I28" s="49"/>
      <c r="J28" s="79"/>
      <c r="K28" s="41"/>
      <c r="L28" s="44"/>
      <c r="AB28"/>
    </row>
    <row r="29" spans="2:28" ht="15.6" x14ac:dyDescent="0.3">
      <c r="B29" s="49" t="s">
        <v>137</v>
      </c>
      <c r="C29" s="49"/>
      <c r="D29" s="49"/>
      <c r="E29" s="49"/>
      <c r="F29" s="62">
        <f>1*AL_полки!G30</f>
        <v>0</v>
      </c>
      <c r="G29" s="62"/>
      <c r="H29" s="49"/>
      <c r="I29" s="49"/>
      <c r="J29" s="79"/>
      <c r="K29" s="63">
        <f>IF(AL_полки!B14=AL_полки!Z4,372,0)</f>
        <v>0</v>
      </c>
      <c r="L29" s="44"/>
    </row>
    <row r="30" spans="2:28" ht="15.6" x14ac:dyDescent="0.3">
      <c r="B30" s="61" t="s">
        <v>98</v>
      </c>
      <c r="C30" s="43"/>
      <c r="D30" s="49"/>
      <c r="E30" s="49"/>
      <c r="F30" s="62">
        <f>1*AL_полки!G30</f>
        <v>0</v>
      </c>
      <c r="G30" s="62"/>
      <c r="H30" s="49"/>
      <c r="I30" s="49"/>
      <c r="J30" s="79">
        <v>413</v>
      </c>
      <c r="K30" s="41"/>
      <c r="L30" s="44"/>
    </row>
    <row r="31" spans="2:28" ht="15.6" x14ac:dyDescent="0.3">
      <c r="B31" s="654" t="s">
        <v>156</v>
      </c>
      <c r="C31" s="654"/>
      <c r="D31" s="654"/>
      <c r="E31" s="654"/>
      <c r="F31" s="654"/>
      <c r="G31" s="654"/>
      <c r="H31" s="654"/>
      <c r="I31" s="68"/>
      <c r="J31" s="69" t="e">
        <f>SUM(J6:J30)</f>
        <v>#N/A</v>
      </c>
      <c r="K31" s="41"/>
      <c r="L31" s="44"/>
    </row>
    <row r="33" spans="2:11" x14ac:dyDescent="0.3">
      <c r="B33" s="61" t="s">
        <v>130</v>
      </c>
      <c r="C33" s="61" t="s">
        <v>5</v>
      </c>
      <c r="D33" s="61"/>
      <c r="E33" s="111" t="s">
        <v>136</v>
      </c>
      <c r="F33" s="111"/>
      <c r="G33" s="111"/>
      <c r="H33" s="62" t="s">
        <v>131</v>
      </c>
      <c r="I33" s="62" t="s">
        <v>3</v>
      </c>
      <c r="J33" s="62" t="s">
        <v>7</v>
      </c>
      <c r="K33" s="49"/>
    </row>
    <row r="34" spans="2:11" x14ac:dyDescent="0.3">
      <c r="B34" s="15" t="s">
        <v>281</v>
      </c>
      <c r="C34" s="67">
        <v>13320001</v>
      </c>
      <c r="D34" s="49"/>
      <c r="E34" s="62">
        <f>ROUNDUP($H$16/1000,0)</f>
        <v>0</v>
      </c>
      <c r="F34" s="62"/>
      <c r="G34" s="62"/>
      <c r="H34" s="79" t="s">
        <v>132</v>
      </c>
      <c r="I34" s="63">
        <f>Ред!E3</f>
        <v>949.41000000000008</v>
      </c>
      <c r="J34" s="50">
        <f>IF(AL_полки!$H$14='Расчет полки'!B34,$I$34*E34,0)</f>
        <v>0</v>
      </c>
      <c r="K34" s="63"/>
    </row>
    <row r="35" spans="2:11" x14ac:dyDescent="0.3">
      <c r="B35" s="15" t="s">
        <v>282</v>
      </c>
      <c r="C35" s="67">
        <v>13320002</v>
      </c>
      <c r="D35" s="49"/>
      <c r="E35" s="62">
        <f>ROUNDUP($H$16/1000,0)</f>
        <v>0</v>
      </c>
      <c r="F35" s="62"/>
      <c r="G35" s="62"/>
      <c r="H35" s="79" t="s">
        <v>132</v>
      </c>
      <c r="I35" s="63">
        <f>Ред!E4</f>
        <v>949.41000000000008</v>
      </c>
      <c r="J35" s="49">
        <f>IF(AL_полки!$H$14='Расчет полки'!B35,$I$35*E35,0)</f>
        <v>0</v>
      </c>
      <c r="K35" s="63">
        <f>J34+J35</f>
        <v>0</v>
      </c>
    </row>
    <row r="36" spans="2:11" x14ac:dyDescent="0.3">
      <c r="B36" s="73" t="s">
        <v>6</v>
      </c>
      <c r="C36" s="74"/>
      <c r="D36" s="75"/>
      <c r="E36" s="75"/>
      <c r="F36" s="75"/>
      <c r="G36" s="75"/>
      <c r="H36" s="75"/>
      <c r="I36" s="75"/>
      <c r="J36" s="140">
        <f>SUM(J34:J35)</f>
        <v>0</v>
      </c>
    </row>
    <row r="37" spans="2:11" x14ac:dyDescent="0.3">
      <c r="B37" s="76"/>
      <c r="C37" s="77"/>
      <c r="D37" s="78"/>
      <c r="E37" s="78"/>
      <c r="F37" s="78"/>
      <c r="G37" s="78"/>
      <c r="H37" s="78"/>
      <c r="I37" s="78"/>
      <c r="J37" s="78"/>
    </row>
    <row r="38" spans="2:11" x14ac:dyDescent="0.3">
      <c r="B38" s="80" t="s">
        <v>135</v>
      </c>
      <c r="C38" s="81"/>
      <c r="D38" s="82"/>
      <c r="E38" s="82"/>
      <c r="F38" s="82"/>
      <c r="G38" s="82"/>
      <c r="H38" s="82"/>
      <c r="I38" s="82"/>
      <c r="J38" s="83" t="e">
        <f>J31+J36</f>
        <v>#N/A</v>
      </c>
    </row>
  </sheetData>
  <mergeCells count="29">
    <mergeCell ref="B25:I25"/>
    <mergeCell ref="B31:H31"/>
    <mergeCell ref="B21:B22"/>
    <mergeCell ref="B6:B9"/>
    <mergeCell ref="H6:H9"/>
    <mergeCell ref="B16:B19"/>
    <mergeCell ref="F21:F22"/>
    <mergeCell ref="I21:I22"/>
    <mergeCell ref="J21:J22"/>
    <mergeCell ref="I16:I19"/>
    <mergeCell ref="J16:J19"/>
    <mergeCell ref="H16:H19"/>
    <mergeCell ref="D2:H2"/>
    <mergeCell ref="D3:H3"/>
    <mergeCell ref="Z18:AB18"/>
    <mergeCell ref="B2:B3"/>
    <mergeCell ref="AA6:AA8"/>
    <mergeCell ref="AA10:AA11"/>
    <mergeCell ref="I6:I9"/>
    <mergeCell ref="B11:B14"/>
    <mergeCell ref="Y6:Y8"/>
    <mergeCell ref="Y10:Y11"/>
    <mergeCell ref="Z6:Z8"/>
    <mergeCell ref="Z10:Z11"/>
    <mergeCell ref="J6:J9"/>
    <mergeCell ref="H11:H14"/>
    <mergeCell ref="J11:J14"/>
    <mergeCell ref="I11:I14"/>
    <mergeCell ref="O3:V3"/>
  </mergeCells>
  <pageMargins left="0.7" right="0.7" top="0.75" bottom="0.75" header="0.3" footer="0.3"/>
  <pageSetup paperSize="9"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H30"/>
  <sheetViews>
    <sheetView workbookViewId="0">
      <selection activeCell="I16" sqref="I16"/>
    </sheetView>
  </sheetViews>
  <sheetFormatPr defaultRowHeight="14.4" x14ac:dyDescent="0.3"/>
  <cols>
    <col min="1" max="1" width="4" customWidth="1"/>
    <col min="2" max="2" width="47" customWidth="1"/>
    <col min="3" max="3" width="24" customWidth="1"/>
    <col min="4" max="4" width="11.44140625" customWidth="1"/>
    <col min="5" max="5" width="17.6640625" customWidth="1"/>
    <col min="6" max="6" width="46.44140625" customWidth="1"/>
    <col min="8" max="8" width="45.109375" customWidth="1"/>
  </cols>
  <sheetData>
    <row r="1" spans="1:8" ht="15" thickBot="1" x14ac:dyDescent="0.35">
      <c r="A1" s="661" t="s">
        <v>252</v>
      </c>
      <c r="B1" s="661"/>
      <c r="C1" s="661"/>
      <c r="D1" s="661"/>
      <c r="E1" s="661"/>
      <c r="F1" s="661"/>
      <c r="G1" s="661"/>
      <c r="H1" s="661"/>
    </row>
    <row r="2" spans="1:8" ht="43.8" thickBot="1" x14ac:dyDescent="0.35">
      <c r="A2" s="147" t="s">
        <v>115</v>
      </c>
      <c r="B2" s="147" t="s">
        <v>232</v>
      </c>
      <c r="C2" s="147" t="s">
        <v>233</v>
      </c>
      <c r="D2" s="163" t="s">
        <v>149</v>
      </c>
      <c r="E2" s="147" t="s">
        <v>234</v>
      </c>
      <c r="F2" s="147" t="s">
        <v>235</v>
      </c>
      <c r="G2" s="148" t="s">
        <v>236</v>
      </c>
      <c r="H2" s="147" t="s">
        <v>237</v>
      </c>
    </row>
    <row r="3" spans="1:8" x14ac:dyDescent="0.3">
      <c r="A3" s="228"/>
      <c r="B3" s="229" t="s">
        <v>15</v>
      </c>
      <c r="C3" s="229" t="s">
        <v>5</v>
      </c>
      <c r="D3" s="229" t="s">
        <v>238</v>
      </c>
      <c r="E3" s="229" t="s">
        <v>239</v>
      </c>
      <c r="F3" s="230" t="s">
        <v>16</v>
      </c>
      <c r="G3" s="231" t="s">
        <v>8</v>
      </c>
      <c r="H3" s="229"/>
    </row>
    <row r="4" spans="1:8" x14ac:dyDescent="0.3">
      <c r="A4" s="45">
        <v>1</v>
      </c>
      <c r="B4" s="45" t="str">
        <f>'Вешало '!B8:D8</f>
        <v>Вешало алюминиевое</v>
      </c>
      <c r="C4" s="151" t="str">
        <f>'Вешало '!E8</f>
        <v>AA0717.VP540.BKSPC.CJ</v>
      </c>
      <c r="D4" s="152">
        <f>'Вешало '!L8</f>
        <v>0</v>
      </c>
      <c r="E4" s="49"/>
      <c r="F4" s="45" t="str">
        <f>'Вешало '!G8&amp;" мм"</f>
        <v xml:space="preserve"> мм</v>
      </c>
      <c r="G4" s="49" t="str">
        <f>"- "&amp;'Вешало '!H8&amp;" шт"</f>
        <v>- 0 шт</v>
      </c>
      <c r="H4" s="312" t="s">
        <v>486</v>
      </c>
    </row>
    <row r="5" spans="1:8" x14ac:dyDescent="0.3">
      <c r="A5" s="45"/>
      <c r="B5" s="45" t="str">
        <f>'Вешало '!B9:D9</f>
        <v>Уплотнитель для штанги, чёрный</v>
      </c>
      <c r="C5" s="151" t="str">
        <f>'Вешало '!E9</f>
        <v>AA0033.VM100.BK000.RK</v>
      </c>
      <c r="D5" s="152">
        <f>'Вешало '!L9</f>
        <v>0</v>
      </c>
      <c r="E5" s="49"/>
      <c r="F5" s="45" t="str">
        <f>'Вешало '!G9&amp;" мм"</f>
        <v>0 мм</v>
      </c>
      <c r="G5" s="49" t="str">
        <f>"- "&amp;'Вешало '!H9&amp;" шт"</f>
        <v>- 0 шт</v>
      </c>
      <c r="H5" s="312" t="s">
        <v>486</v>
      </c>
    </row>
    <row r="6" spans="1:8" x14ac:dyDescent="0.3">
      <c r="A6" s="45">
        <v>2</v>
      </c>
      <c r="B6" s="45" t="str">
        <f>'Вешало '!B10:D10</f>
        <v>Вешало алюминиевое</v>
      </c>
      <c r="C6" s="151" t="str">
        <f>'Вешало '!E10</f>
        <v>AA0717.VP540.BKSPC.CJ</v>
      </c>
      <c r="D6" s="152">
        <f>'Вешало '!L10</f>
        <v>0</v>
      </c>
      <c r="E6" s="45"/>
      <c r="F6" s="45" t="str">
        <f>'Вешало '!G10&amp;" мм"</f>
        <v xml:space="preserve"> мм</v>
      </c>
      <c r="G6" s="49" t="str">
        <f>"- "&amp;'Вешало '!H10&amp;" шт"</f>
        <v>- 0 шт</v>
      </c>
      <c r="H6" s="312" t="s">
        <v>486</v>
      </c>
    </row>
    <row r="7" spans="1:8" x14ac:dyDescent="0.3">
      <c r="A7" s="45"/>
      <c r="B7" s="45" t="str">
        <f>'Вешало '!B11:D11</f>
        <v>Уплотнитель для штанги, чёрный</v>
      </c>
      <c r="C7" s="151" t="str">
        <f>'Вешало '!E11</f>
        <v>AA0033.VM100.BK000.RK</v>
      </c>
      <c r="D7" s="152">
        <f>'Вешало '!L11</f>
        <v>0</v>
      </c>
      <c r="E7" s="45"/>
      <c r="F7" s="45" t="str">
        <f>'Вешало '!G11&amp;" мм"</f>
        <v>0 мм</v>
      </c>
      <c r="G7" s="49" t="str">
        <f>"- "&amp;'Вешало '!H11&amp;" шт"</f>
        <v>- 0 шт</v>
      </c>
      <c r="H7" s="312" t="s">
        <v>486</v>
      </c>
    </row>
    <row r="8" spans="1:8" x14ac:dyDescent="0.3">
      <c r="A8" s="45">
        <v>3</v>
      </c>
      <c r="B8" s="45" t="str">
        <f>'Вешало '!B12:D12</f>
        <v>Вешало алюминиевое</v>
      </c>
      <c r="C8" s="151" t="str">
        <f>'Вешало '!E12</f>
        <v>AA0717.VP540.BKSPC.CJ</v>
      </c>
      <c r="D8" s="152">
        <f>'Вешало '!L12</f>
        <v>0</v>
      </c>
      <c r="E8" s="49"/>
      <c r="F8" s="45" t="str">
        <f>'Вешало '!G12&amp;" мм"</f>
        <v xml:space="preserve"> мм</v>
      </c>
      <c r="G8" s="49" t="str">
        <f>"- "&amp;'Вешало '!H12&amp;" шт"</f>
        <v>- 0 шт</v>
      </c>
      <c r="H8" s="312" t="s">
        <v>486</v>
      </c>
    </row>
    <row r="9" spans="1:8" x14ac:dyDescent="0.3">
      <c r="A9" s="45"/>
      <c r="B9" s="45" t="str">
        <f>'Вешало '!B13:D13</f>
        <v>Уплотнитель для штанги, чёрный</v>
      </c>
      <c r="C9" s="151" t="str">
        <f>'Вешало '!E13</f>
        <v>AA0033.VM100.BK000.RK</v>
      </c>
      <c r="D9" s="152">
        <f>'Вешало '!L13</f>
        <v>0</v>
      </c>
      <c r="E9" s="49"/>
      <c r="F9" s="45" t="str">
        <f>'Вешало '!G13&amp;" мм"</f>
        <v>0 мм</v>
      </c>
      <c r="G9" s="49" t="str">
        <f>"- "&amp;'Вешало '!H13&amp;" шт"</f>
        <v>- 0 шт</v>
      </c>
      <c r="H9" s="312" t="s">
        <v>486</v>
      </c>
    </row>
    <row r="10" spans="1:8" x14ac:dyDescent="0.3">
      <c r="A10" s="45">
        <v>4</v>
      </c>
      <c r="B10" s="45" t="str">
        <f>'Вешало '!B14:D14</f>
        <v>Вешало алюминиевое</v>
      </c>
      <c r="C10" s="151" t="str">
        <f>'Вешало '!E14</f>
        <v>AA0717.VP540.BKSPC.CJ</v>
      </c>
      <c r="D10" s="152">
        <f>'Вешало '!L14</f>
        <v>0</v>
      </c>
      <c r="E10" s="49"/>
      <c r="F10" s="45" t="str">
        <f>'Вешало '!G14&amp;" мм"</f>
        <v xml:space="preserve"> мм</v>
      </c>
      <c r="G10" s="49" t="str">
        <f>"- "&amp;'Вешало '!H14&amp;" шт"</f>
        <v>- 0 шт</v>
      </c>
      <c r="H10" s="312" t="s">
        <v>486</v>
      </c>
    </row>
    <row r="11" spans="1:8" x14ac:dyDescent="0.3">
      <c r="A11" s="45"/>
      <c r="B11" s="45" t="str">
        <f>'Вешало '!B15:D15</f>
        <v>Уплотнитель для штанги, чёрный</v>
      </c>
      <c r="C11" s="151" t="str">
        <f>'Вешало '!E15</f>
        <v>AA0033.VM100.BK000.RK</v>
      </c>
      <c r="D11" s="152">
        <f>'Вешало '!L15</f>
        <v>0</v>
      </c>
      <c r="E11" s="49"/>
      <c r="F11" s="45" t="str">
        <f>'Вешало '!G15&amp;" мм"</f>
        <v>0 мм</v>
      </c>
      <c r="G11" s="49" t="str">
        <f>"- "&amp;'Вешало '!H15&amp;" шт"</f>
        <v>- 0 шт</v>
      </c>
      <c r="H11" s="312" t="s">
        <v>486</v>
      </c>
    </row>
    <row r="12" spans="1:8" x14ac:dyDescent="0.3">
      <c r="A12" s="45">
        <v>5</v>
      </c>
      <c r="B12" s="45" t="str">
        <f>'Вешало '!B16:D16</f>
        <v>Вешало алюминиевое</v>
      </c>
      <c r="C12" s="151" t="str">
        <f>'Вешало '!E16</f>
        <v>AA0717.VP540.BKSPC.CJ</v>
      </c>
      <c r="D12" s="152">
        <f>'Вешало '!L16</f>
        <v>0</v>
      </c>
      <c r="E12" s="49"/>
      <c r="F12" s="45" t="str">
        <f>'Вешало '!G16&amp;" мм"</f>
        <v xml:space="preserve"> мм</v>
      </c>
      <c r="G12" s="49" t="str">
        <f>"- "&amp;'Вешало '!H16&amp;" шт"</f>
        <v>- 0 шт</v>
      </c>
      <c r="H12" s="312" t="s">
        <v>486</v>
      </c>
    </row>
    <row r="13" spans="1:8" x14ac:dyDescent="0.3">
      <c r="A13" s="45"/>
      <c r="B13" s="45" t="str">
        <f>'Вешало '!B17:D17</f>
        <v>Уплотнитель для штанги, чёрный</v>
      </c>
      <c r="C13" s="151" t="str">
        <f>'Вешало '!E17</f>
        <v>AA0033.VM100.BK000.RK</v>
      </c>
      <c r="D13" s="152">
        <f>'Вешало '!L17</f>
        <v>0</v>
      </c>
      <c r="E13" s="49"/>
      <c r="F13" s="45" t="str">
        <f>'Вешало '!G17&amp;" мм"</f>
        <v>0 мм</v>
      </c>
      <c r="G13" s="49" t="str">
        <f>"- "&amp;'Вешало '!H17&amp;" шт"</f>
        <v>- 0 шт</v>
      </c>
      <c r="H13" s="312" t="s">
        <v>486</v>
      </c>
    </row>
    <row r="14" spans="1:8" x14ac:dyDescent="0.3">
      <c r="A14" s="45">
        <v>6</v>
      </c>
      <c r="B14" s="45" t="str">
        <f>'Вешало '!B18:D18</f>
        <v>Вешало алюминиевое</v>
      </c>
      <c r="C14" s="151" t="str">
        <f>'Вешало '!E18</f>
        <v>AA0717.VP540.BKSPC.CJ</v>
      </c>
      <c r="D14" s="152">
        <f>'Вешало '!L18</f>
        <v>0</v>
      </c>
      <c r="E14" s="49"/>
      <c r="F14" s="45" t="str">
        <f>'Вешало '!G18&amp;" мм"</f>
        <v xml:space="preserve"> мм</v>
      </c>
      <c r="G14" s="49" t="str">
        <f>"- "&amp;'Вешало '!H18&amp;" шт"</f>
        <v>- 0 шт</v>
      </c>
      <c r="H14" s="312" t="s">
        <v>486</v>
      </c>
    </row>
    <row r="15" spans="1:8" x14ac:dyDescent="0.3">
      <c r="A15" s="45"/>
      <c r="B15" s="45" t="str">
        <f>'Вешало '!B19:D19</f>
        <v>Уплотнитель для штанги, чёрный</v>
      </c>
      <c r="C15" s="151" t="str">
        <f>'Вешало '!E19</f>
        <v>AA0033.VM100.BK000.RK</v>
      </c>
      <c r="D15" s="152">
        <f>'Вешало '!L19</f>
        <v>0</v>
      </c>
      <c r="E15" s="49"/>
      <c r="F15" s="45" t="str">
        <f>'Вешало '!G19&amp;" мм"</f>
        <v>0 мм</v>
      </c>
      <c r="G15" s="49" t="str">
        <f>"- "&amp;'Вешало '!H19&amp;" шт"</f>
        <v>- 0 шт</v>
      </c>
      <c r="H15" s="312" t="s">
        <v>486</v>
      </c>
    </row>
    <row r="16" spans="1:8" x14ac:dyDescent="0.3">
      <c r="A16" s="45">
        <v>7</v>
      </c>
      <c r="B16" s="45" t="str">
        <f>'Вешало '!B20:D20</f>
        <v>Вешало алюминиевое</v>
      </c>
      <c r="C16" s="151" t="str">
        <f>'Вешало '!E20</f>
        <v>AA0717.VP540.BKSPC.CJ</v>
      </c>
      <c r="D16" s="152">
        <f>'Вешало '!L20</f>
        <v>0</v>
      </c>
      <c r="E16" s="49"/>
      <c r="F16" s="45" t="str">
        <f>'Вешало '!G20&amp;" мм"</f>
        <v xml:space="preserve"> мм</v>
      </c>
      <c r="G16" s="49" t="str">
        <f>"- "&amp;'Вешало '!H20&amp;" шт"</f>
        <v>- 0 шт</v>
      </c>
      <c r="H16" s="312" t="s">
        <v>486</v>
      </c>
    </row>
    <row r="17" spans="1:8" x14ac:dyDescent="0.3">
      <c r="A17" s="45"/>
      <c r="B17" s="45" t="str">
        <f>'Вешало '!B21:D21</f>
        <v>Уплотнитель для штанги, чёрный</v>
      </c>
      <c r="C17" s="151" t="str">
        <f>'Вешало '!E21</f>
        <v>AA0033.VM100.BK000.RK</v>
      </c>
      <c r="D17" s="152">
        <f>'Вешало '!L21</f>
        <v>0</v>
      </c>
      <c r="E17" s="49"/>
      <c r="F17" s="45" t="str">
        <f>'Вешало '!G21&amp;" мм"</f>
        <v>0 мм</v>
      </c>
      <c r="G17" s="49" t="str">
        <f>"- "&amp;'Вешало '!H21&amp;" шт"</f>
        <v>- 0 шт</v>
      </c>
      <c r="H17" s="312" t="s">
        <v>486</v>
      </c>
    </row>
    <row r="18" spans="1:8" x14ac:dyDescent="0.3">
      <c r="A18" s="45">
        <v>8</v>
      </c>
      <c r="B18" s="45" t="str">
        <f>'Вешало '!B22:D22</f>
        <v>Вешало алюминиевое</v>
      </c>
      <c r="C18" s="151" t="str">
        <f>'Вешало '!E22</f>
        <v>AA0717.VP540.BKSPC.CJ</v>
      </c>
      <c r="D18" s="152">
        <f>'Вешало '!L22</f>
        <v>0</v>
      </c>
      <c r="E18" s="49"/>
      <c r="F18" s="45" t="str">
        <f>'Вешало '!G22&amp;" мм"</f>
        <v xml:space="preserve"> мм</v>
      </c>
      <c r="G18" s="49" t="str">
        <f>"- "&amp;'Вешало '!H22&amp;" шт"</f>
        <v>- 0 шт</v>
      </c>
      <c r="H18" s="312" t="s">
        <v>486</v>
      </c>
    </row>
    <row r="19" spans="1:8" x14ac:dyDescent="0.3">
      <c r="A19" s="45"/>
      <c r="B19" s="45" t="str">
        <f>'Вешало '!B23:D23</f>
        <v>Уплотнитель для штанги, чёрный</v>
      </c>
      <c r="C19" s="151" t="str">
        <f>'Вешало '!E23</f>
        <v>AA0033.VM100.BK000.RK</v>
      </c>
      <c r="D19" s="152">
        <f>'Вешало '!L23</f>
        <v>0</v>
      </c>
      <c r="E19" s="49"/>
      <c r="F19" s="45" t="str">
        <f>'Вешало '!G23&amp;" мм"</f>
        <v>0 мм</v>
      </c>
      <c r="G19" s="49" t="str">
        <f>"- "&amp;'Вешало '!H23&amp;" шт"</f>
        <v>- 0 шт</v>
      </c>
      <c r="H19" s="312" t="s">
        <v>486</v>
      </c>
    </row>
    <row r="20" spans="1:8" x14ac:dyDescent="0.3">
      <c r="A20" s="45">
        <v>9</v>
      </c>
      <c r="B20" s="45" t="str">
        <f>'Вешало '!B24:D24</f>
        <v>Вешало алюминиевое</v>
      </c>
      <c r="C20" s="151" t="str">
        <f>'Вешало '!E24</f>
        <v>AA0717.VP540.BKSPC.CJ</v>
      </c>
      <c r="D20" s="152">
        <f>'Вешало '!L24</f>
        <v>0</v>
      </c>
      <c r="E20" s="49"/>
      <c r="F20" s="45" t="str">
        <f>'Вешало '!G24&amp;" мм"</f>
        <v xml:space="preserve"> мм</v>
      </c>
      <c r="G20" s="49" t="str">
        <f>"- "&amp;'Вешало '!H24&amp;" шт"</f>
        <v>- 0 шт</v>
      </c>
      <c r="H20" s="312" t="s">
        <v>486</v>
      </c>
    </row>
    <row r="21" spans="1:8" x14ac:dyDescent="0.3">
      <c r="A21" s="45"/>
      <c r="B21" s="45" t="str">
        <f>'Вешало '!B25:D25</f>
        <v>Уплотнитель для штанги, чёрный</v>
      </c>
      <c r="C21" s="151" t="str">
        <f>'Вешало '!E25</f>
        <v>AA0033.VM100.BK000.RK</v>
      </c>
      <c r="D21" s="152">
        <f>'Вешало '!L25</f>
        <v>0</v>
      </c>
      <c r="E21" s="49"/>
      <c r="F21" s="45" t="str">
        <f>'Вешало '!G25&amp;" мм"</f>
        <v>0 мм</v>
      </c>
      <c r="G21" s="49" t="str">
        <f>"- "&amp;'Вешало '!H25&amp;" шт"</f>
        <v>- 0 шт</v>
      </c>
      <c r="H21" s="312" t="s">
        <v>486</v>
      </c>
    </row>
    <row r="22" spans="1:8" x14ac:dyDescent="0.3">
      <c r="A22" s="45">
        <v>10</v>
      </c>
      <c r="B22" s="45" t="str">
        <f>'Вешало '!B26:D26</f>
        <v>Вешало алюминиевое</v>
      </c>
      <c r="C22" s="151" t="str">
        <f>'Вешало '!E26</f>
        <v>AA0717.VP540.BKSPC.CJ</v>
      </c>
      <c r="D22" s="152">
        <f>'Вешало '!L26</f>
        <v>0</v>
      </c>
      <c r="E22" s="49"/>
      <c r="F22" s="45" t="str">
        <f>'Вешало '!G26&amp;" мм"</f>
        <v xml:space="preserve"> мм</v>
      </c>
      <c r="G22" s="49" t="str">
        <f>"- "&amp;'Вешало '!H26&amp;" шт"</f>
        <v>- 0 шт</v>
      </c>
      <c r="H22" s="312" t="s">
        <v>486</v>
      </c>
    </row>
    <row r="23" spans="1:8" x14ac:dyDescent="0.3">
      <c r="A23" s="45">
        <v>11</v>
      </c>
      <c r="B23" s="45" t="str">
        <f>'Вешало '!B25:D25</f>
        <v>Уплотнитель для штанги, чёрный</v>
      </c>
      <c r="C23" s="151" t="str">
        <f>'Вешало '!E25</f>
        <v>AA0033.VM100.BK000.RK</v>
      </c>
      <c r="D23" s="152">
        <f>'Вешало '!L27</f>
        <v>0</v>
      </c>
      <c r="E23" s="49"/>
      <c r="F23" s="45" t="str">
        <f>'Вешало '!G27&amp;" мм"</f>
        <v>0 мм</v>
      </c>
      <c r="G23" s="49" t="str">
        <f>"- "&amp;'Вешало '!H27&amp;" шт"</f>
        <v>- 0 шт</v>
      </c>
      <c r="H23" s="312" t="s">
        <v>486</v>
      </c>
    </row>
    <row r="24" spans="1:8" x14ac:dyDescent="0.3">
      <c r="A24" s="45">
        <v>11</v>
      </c>
      <c r="B24" s="49" t="str">
        <f>'Вешало '!B29:D29</f>
        <v>Крепление стена-стена, к-т</v>
      </c>
      <c r="C24" s="155" t="str">
        <f>'Вешало '!E29</f>
        <v>AA0956.VR000.BKM00.CN</v>
      </c>
      <c r="D24" s="49">
        <f>'Вешало '!H29</f>
        <v>0</v>
      </c>
      <c r="E24" s="49"/>
      <c r="F24" s="49"/>
      <c r="G24" s="49">
        <f>'Вешало '!H28</f>
        <v>0</v>
      </c>
      <c r="H24" s="312" t="s">
        <v>241</v>
      </c>
    </row>
    <row r="25" spans="1:8" x14ac:dyDescent="0.3">
      <c r="A25" s="45">
        <v>11</v>
      </c>
      <c r="B25" s="49" t="str">
        <f>'Вешало '!B30:D30</f>
        <v>Крепление торцевое, шт</v>
      </c>
      <c r="C25" s="155" t="str">
        <f>'Вешало '!E30</f>
        <v>AA1019.VP000.BKM00.CN</v>
      </c>
      <c r="D25" s="49">
        <f>'Вешало '!H30</f>
        <v>0</v>
      </c>
      <c r="E25" s="49"/>
      <c r="F25" s="49"/>
      <c r="G25" s="49">
        <f>'Вешало '!H29</f>
        <v>0</v>
      </c>
      <c r="H25" s="312" t="s">
        <v>241</v>
      </c>
    </row>
    <row r="26" spans="1:8" x14ac:dyDescent="0.3">
      <c r="A26" s="45">
        <v>11</v>
      </c>
      <c r="B26" s="49" t="str">
        <f>'Вешало '!B31:D31</f>
        <v>Крепление сквозное, шт</v>
      </c>
      <c r="C26" s="155" t="str">
        <f>'Вешало '!E31</f>
        <v>AA1020.VP000.BKM00.CN</v>
      </c>
      <c r="D26" s="49">
        <f>'Вешало '!H31</f>
        <v>0</v>
      </c>
      <c r="E26" s="49"/>
      <c r="F26" s="49"/>
      <c r="G26" s="49">
        <f>'Вешало '!H30</f>
        <v>0</v>
      </c>
      <c r="H26" s="312" t="s">
        <v>241</v>
      </c>
    </row>
    <row r="27" spans="1:8" x14ac:dyDescent="0.3">
      <c r="A27" s="45"/>
      <c r="B27" s="49"/>
      <c r="C27" s="155"/>
      <c r="D27" s="48"/>
      <c r="E27" s="49"/>
      <c r="F27" s="49"/>
      <c r="G27" s="49"/>
      <c r="H27" s="312"/>
    </row>
    <row r="28" spans="1:8" x14ac:dyDescent="0.3">
      <c r="A28" s="45"/>
      <c r="B28" s="49"/>
      <c r="C28" s="155"/>
      <c r="D28" s="48"/>
      <c r="E28" s="49"/>
      <c r="F28" s="49"/>
      <c r="G28" s="49"/>
      <c r="H28" s="312"/>
    </row>
    <row r="29" spans="1:8" x14ac:dyDescent="0.3">
      <c r="A29" s="45"/>
      <c r="B29" s="49"/>
      <c r="C29" s="155"/>
      <c r="D29" s="49"/>
      <c r="E29" s="49"/>
      <c r="F29" s="49"/>
      <c r="G29" s="49"/>
      <c r="H29" s="312"/>
    </row>
    <row r="30" spans="1:8" x14ac:dyDescent="0.3">
      <c r="A30" s="49"/>
      <c r="B30" s="49"/>
      <c r="C30" s="49"/>
      <c r="D30" s="49"/>
      <c r="E30" s="49"/>
      <c r="F30" s="49"/>
      <c r="G30" s="49"/>
      <c r="H30" s="312"/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2">
    <outlinePr summaryBelow="0" summaryRight="0"/>
    <pageSetUpPr fitToPage="1"/>
  </sheetPr>
  <dimension ref="A1:AE322"/>
  <sheetViews>
    <sheetView zoomScale="85" zoomScaleNormal="85" workbookViewId="0">
      <selection activeCell="C375" sqref="C375"/>
    </sheetView>
  </sheetViews>
  <sheetFormatPr defaultColWidth="9.109375" defaultRowHeight="14.4" outlineLevelRow="1" outlineLevelCol="1" x14ac:dyDescent="0.3"/>
  <cols>
    <col min="1" max="1" width="23.44140625" style="39" customWidth="1"/>
    <col min="2" max="2" width="31.88671875" style="39" customWidth="1"/>
    <col min="3" max="3" width="13.33203125" style="39" customWidth="1"/>
    <col min="4" max="6" width="11.88671875" style="39" customWidth="1"/>
    <col min="7" max="7" width="11.88671875" style="39" customWidth="1" collapsed="1"/>
    <col min="8" max="8" width="11.88671875" style="39" hidden="1" customWidth="1" outlineLevel="1"/>
    <col min="9" max="21" width="10" style="39" hidden="1" customWidth="1" outlineLevel="1"/>
    <col min="22" max="22" width="12.33203125" style="39" hidden="1" customWidth="1" outlineLevel="1"/>
    <col min="23" max="23" width="10" style="39" hidden="1" customWidth="1" outlineLevel="1"/>
    <col min="24" max="24" width="4" style="39" customWidth="1" collapsed="1"/>
    <col min="25" max="25" width="46.6640625" style="39" customWidth="1"/>
    <col min="26" max="26" width="24" style="39" customWidth="1"/>
    <col min="27" max="27" width="9.33203125" style="39" customWidth="1"/>
    <col min="28" max="28" width="17.6640625" style="39" customWidth="1"/>
    <col min="29" max="29" width="19" style="39" customWidth="1"/>
    <col min="30" max="30" width="9.109375" style="39"/>
    <col min="31" max="31" width="45.109375" style="39" customWidth="1"/>
    <col min="32" max="16384" width="9.109375" style="39"/>
  </cols>
  <sheetData>
    <row r="1" spans="1:31" ht="15" thickBot="1" x14ac:dyDescent="0.35">
      <c r="X1" s="661" t="s">
        <v>252</v>
      </c>
      <c r="Y1" s="661"/>
      <c r="Z1" s="661"/>
      <c r="AA1" s="661"/>
      <c r="AB1" s="661"/>
      <c r="AC1" s="661"/>
      <c r="AD1" s="661"/>
      <c r="AE1" s="661"/>
    </row>
    <row r="2" spans="1:31" ht="20.100000000000001" customHeight="1" collapsed="1" thickBot="1" x14ac:dyDescent="0.45">
      <c r="A2" s="286" t="s">
        <v>396</v>
      </c>
      <c r="B2" s="287">
        <v>1</v>
      </c>
      <c r="J2" s="268" t="s">
        <v>361</v>
      </c>
      <c r="K2" s="268" t="s">
        <v>362</v>
      </c>
      <c r="L2" s="268" t="s">
        <v>373</v>
      </c>
      <c r="M2" s="268" t="s">
        <v>363</v>
      </c>
      <c r="N2" s="268" t="s">
        <v>374</v>
      </c>
      <c r="O2" s="268" t="s">
        <v>364</v>
      </c>
      <c r="P2" s="268" t="s">
        <v>375</v>
      </c>
      <c r="Q2" s="268" t="s">
        <v>382</v>
      </c>
      <c r="R2" s="268" t="s">
        <v>377</v>
      </c>
      <c r="S2" s="268" t="s">
        <v>378</v>
      </c>
      <c r="T2" s="268" t="s">
        <v>379</v>
      </c>
      <c r="U2" s="268" t="s">
        <v>394</v>
      </c>
      <c r="V2" s="268" t="s">
        <v>682</v>
      </c>
      <c r="X2" s="147" t="s">
        <v>115</v>
      </c>
      <c r="Y2" s="147" t="s">
        <v>232</v>
      </c>
      <c r="Z2" s="147" t="s">
        <v>233</v>
      </c>
      <c r="AA2" s="163" t="s">
        <v>149</v>
      </c>
      <c r="AB2" s="147" t="s">
        <v>234</v>
      </c>
      <c r="AC2" s="147" t="s">
        <v>235</v>
      </c>
      <c r="AD2" s="148" t="s">
        <v>236</v>
      </c>
      <c r="AE2" s="147" t="s">
        <v>237</v>
      </c>
    </row>
    <row r="3" spans="1:31" ht="15" hidden="1" customHeight="1" outlineLevel="1" thickTop="1" x14ac:dyDescent="0.3">
      <c r="A3" s="134" t="s">
        <v>358</v>
      </c>
      <c r="B3" s="279" t="s">
        <v>365</v>
      </c>
      <c r="C3" s="5"/>
      <c r="J3" s="39">
        <v>1</v>
      </c>
      <c r="K3" s="39">
        <f>'Фасады EDGE'!$C$8</f>
        <v>0</v>
      </c>
      <c r="L3" s="39" t="e">
        <f>INDEX(Профили[арт], MATCH(K3, Профили[профиль], 0))</f>
        <v>#N/A</v>
      </c>
      <c r="M3" s="39">
        <f>'Фасады EDGE'!M8</f>
        <v>0</v>
      </c>
      <c r="N3" s="39" t="str">
        <f>IFERROR(INDEX(Вставки[арт],MATCH(M3,Вставки[вставка],0)),".")</f>
        <v>.</v>
      </c>
      <c r="O3" s="39" t="e">
        <f>CONCATENATE("ST.",L3,".Grass.",N3)</f>
        <v>#N/A</v>
      </c>
      <c r="P3" s="270">
        <f>'Фасады EDGE'!$K$8</f>
        <v>0</v>
      </c>
      <c r="Q3" s="270">
        <f>'Фасады EDGE'!$Q$8</f>
        <v>0</v>
      </c>
      <c r="R3" s="270">
        <f>'Фасады EDGE'!$G$8</f>
        <v>0</v>
      </c>
      <c r="S3" s="270">
        <f>'Фасады EDGE'!$I$8</f>
        <v>0</v>
      </c>
      <c r="T3" s="273">
        <f>'Фасады EDGE'!$W$8</f>
        <v>0</v>
      </c>
      <c r="U3" s="270">
        <f>'Фасады EDGE'!$T$8</f>
        <v>0</v>
      </c>
      <c r="V3" s="428" t="e">
        <f>$B$30</f>
        <v>#N/A</v>
      </c>
      <c r="X3" s="161"/>
      <c r="Y3" s="191" t="s">
        <v>15</v>
      </c>
      <c r="Z3" s="191" t="s">
        <v>5</v>
      </c>
      <c r="AA3" s="191" t="s">
        <v>238</v>
      </c>
      <c r="AB3" s="191" t="s">
        <v>239</v>
      </c>
      <c r="AC3" s="195" t="s">
        <v>16</v>
      </c>
      <c r="AD3" s="196" t="s">
        <v>8</v>
      </c>
      <c r="AE3" s="191"/>
    </row>
    <row r="4" spans="1:31" ht="15" hidden="1" customHeight="1" outlineLevel="1" x14ac:dyDescent="0.3">
      <c r="A4" s="5" t="s">
        <v>376</v>
      </c>
      <c r="B4" s="279" t="e">
        <f>INDEX($L$3:$L$12, B2)</f>
        <v>#N/A</v>
      </c>
      <c r="C4" s="5"/>
      <c r="J4" s="39">
        <v>2</v>
      </c>
      <c r="K4" s="39">
        <f>'Фасады EDGE'!$C$11</f>
        <v>0</v>
      </c>
      <c r="L4" s="39" t="e">
        <f>INDEX(Профили[арт], MATCH(K4, Профили[профиль], 0))</f>
        <v>#N/A</v>
      </c>
      <c r="M4" s="269">
        <f>'Фасады EDGE'!M11</f>
        <v>0</v>
      </c>
      <c r="N4" s="39" t="str">
        <f>IFERROR(INDEX(Вставки[арт],MATCH(M4,Вставки[вставка],0)),".")</f>
        <v>.</v>
      </c>
      <c r="O4" s="39" t="e">
        <f t="shared" ref="O4:O12" si="0">CONCATENATE("ST.",L4,".Grass.",N4)</f>
        <v>#N/A</v>
      </c>
      <c r="P4" s="270">
        <f>'Фасады EDGE'!$K$11</f>
        <v>0</v>
      </c>
      <c r="Q4" s="270">
        <f>'Фасады EDGE'!$Q$11</f>
        <v>0</v>
      </c>
      <c r="R4" s="270">
        <f>'Фасады EDGE'!$G$11</f>
        <v>0</v>
      </c>
      <c r="S4" s="270">
        <f>'Фасады EDGE'!$I$11</f>
        <v>0</v>
      </c>
      <c r="T4" s="273">
        <f>'Фасады EDGE'!$W$11</f>
        <v>0</v>
      </c>
      <c r="U4" s="270">
        <f>'Фасады EDGE'!$T$11</f>
        <v>0</v>
      </c>
      <c r="V4" s="428" t="e">
        <f>$B$62</f>
        <v>#N/A</v>
      </c>
      <c r="X4" s="162">
        <v>1</v>
      </c>
      <c r="Y4" s="162" t="str">
        <f>B17</f>
        <v>Фасад, Рамочный узкий профиль</v>
      </c>
      <c r="Z4" s="166" t="e">
        <f>D17</f>
        <v>#N/A</v>
      </c>
      <c r="AA4" s="192">
        <f>ROUNDUP(F17/5400*1.1*AD4, 2)</f>
        <v>0</v>
      </c>
      <c r="AB4" s="194"/>
      <c r="AC4" s="162" t="str">
        <f>B5&amp;"мм-"&amp;B7&amp;"шт"</f>
        <v>0мм-0шт</v>
      </c>
      <c r="AD4" s="310">
        <f>B7</f>
        <v>0</v>
      </c>
      <c r="AE4" s="197" t="s">
        <v>240</v>
      </c>
    </row>
    <row r="5" spans="1:31" ht="15" hidden="1" customHeight="1" outlineLevel="1" x14ac:dyDescent="0.3">
      <c r="A5" s="5" t="s">
        <v>4</v>
      </c>
      <c r="B5" s="279">
        <f>INDEX($R$3:$R$12, B2)</f>
        <v>0</v>
      </c>
      <c r="C5" s="5"/>
      <c r="J5" s="39">
        <v>3</v>
      </c>
      <c r="K5" s="39">
        <f>'Фасады EDGE'!$C$14</f>
        <v>0</v>
      </c>
      <c r="L5" s="39" t="e">
        <f>INDEX(Профили[арт], MATCH(K5, Профили[профиль], 0))</f>
        <v>#N/A</v>
      </c>
      <c r="M5" s="269">
        <f>'Фасады EDGE'!M14</f>
        <v>0</v>
      </c>
      <c r="N5" s="39" t="str">
        <f>IFERROR(INDEX(Вставки[арт],MATCH(M5,Вставки[вставка],0)),".")</f>
        <v>.</v>
      </c>
      <c r="O5" s="39" t="e">
        <f t="shared" si="0"/>
        <v>#N/A</v>
      </c>
      <c r="P5" s="270">
        <f>'Фасады EDGE'!$K$14</f>
        <v>0</v>
      </c>
      <c r="Q5" s="270">
        <f>'Фасады EDGE'!$Q$14</f>
        <v>0</v>
      </c>
      <c r="R5" s="270">
        <f>'Фасады EDGE'!$G$14</f>
        <v>0</v>
      </c>
      <c r="S5" s="270">
        <f>'Фасады EDGE'!$I$14</f>
        <v>0</v>
      </c>
      <c r="T5" s="273">
        <f>'Фасады EDGE'!$W$14</f>
        <v>0</v>
      </c>
      <c r="U5" s="270">
        <f>'Фасады EDGE'!$T$14</f>
        <v>0</v>
      </c>
      <c r="V5" s="428" t="e">
        <f>$B$94</f>
        <v>#N/A</v>
      </c>
      <c r="X5" s="162">
        <v>2</v>
      </c>
      <c r="Y5" s="162" t="str">
        <f>B18</f>
        <v>Фасад, Рамочный узкий профиль</v>
      </c>
      <c r="Z5" s="166" t="e">
        <f>D18</f>
        <v>#N/A</v>
      </c>
      <c r="AA5" s="192">
        <f>ROUNDUP(F18/5400*1.1*AD5, 2)</f>
        <v>0</v>
      </c>
      <c r="AB5" s="162"/>
      <c r="AC5" s="162" t="str">
        <f>B6&amp;"мм-"&amp;B7&amp;"шт"</f>
        <v>0мм-0шт</v>
      </c>
      <c r="AD5" s="310">
        <f>B7</f>
        <v>0</v>
      </c>
      <c r="AE5" s="197" t="s">
        <v>240</v>
      </c>
    </row>
    <row r="6" spans="1:31" ht="15" hidden="1" customHeight="1" outlineLevel="1" x14ac:dyDescent="0.3">
      <c r="A6" s="5" t="s">
        <v>1</v>
      </c>
      <c r="B6" s="279">
        <f>INDEX($S$3:$S$12, B2)</f>
        <v>0</v>
      </c>
      <c r="D6" s="134"/>
      <c r="E6" s="124"/>
      <c r="F6" s="124"/>
      <c r="G6" s="124"/>
      <c r="J6" s="39">
        <v>4</v>
      </c>
      <c r="K6" s="39">
        <f>'Фасады EDGE'!$C$17</f>
        <v>0</v>
      </c>
      <c r="L6" s="39" t="e">
        <f>INDEX(Профили[арт], MATCH(K6, Профили[профиль], 0))</f>
        <v>#N/A</v>
      </c>
      <c r="M6" s="269">
        <f>'Фасады EDGE'!M17</f>
        <v>0</v>
      </c>
      <c r="N6" s="39" t="str">
        <f>IFERROR(INDEX(Вставки[арт],MATCH(M6,Вставки[вставка],0)),".")</f>
        <v>.</v>
      </c>
      <c r="O6" s="39" t="e">
        <f t="shared" si="0"/>
        <v>#N/A</v>
      </c>
      <c r="P6" s="270">
        <f>'Фасады EDGE'!$K$17</f>
        <v>0</v>
      </c>
      <c r="Q6" s="270">
        <f>'Фасады EDGE'!$Q$17</f>
        <v>0</v>
      </c>
      <c r="R6" s="270">
        <f>'Фасады EDGE'!$G$17</f>
        <v>0</v>
      </c>
      <c r="S6" s="270">
        <f>'Фасады EDGE'!$I$17</f>
        <v>0</v>
      </c>
      <c r="T6" s="273">
        <f>'Фасады EDGE'!$W$17</f>
        <v>0</v>
      </c>
      <c r="U6" s="270">
        <f>'Фасады EDGE'!$T$17</f>
        <v>0</v>
      </c>
      <c r="V6" s="428" t="e">
        <f>$B$126</f>
        <v>#N/A</v>
      </c>
      <c r="X6" s="162">
        <v>3</v>
      </c>
      <c r="Y6" s="164" t="str">
        <f>B19</f>
        <v>Фасад, Рамочный узкий профиль</v>
      </c>
      <c r="Z6" s="193" t="e">
        <f>D19</f>
        <v>#N/A</v>
      </c>
      <c r="AA6" s="192">
        <f>ROUNDUP(F19/5400*1.1*AD6, 2)</f>
        <v>0</v>
      </c>
      <c r="AB6" s="164"/>
      <c r="AC6" s="162" t="str">
        <f>B5&amp;"мм-"&amp;B7&amp;"шт"</f>
        <v>0мм-0шт</v>
      </c>
      <c r="AD6" s="310">
        <f>B7</f>
        <v>0</v>
      </c>
      <c r="AE6" s="197" t="s">
        <v>240</v>
      </c>
    </row>
    <row r="7" spans="1:31" ht="15" hidden="1" customHeight="1" outlineLevel="1" x14ac:dyDescent="0.3">
      <c r="A7" s="39" t="s">
        <v>72</v>
      </c>
      <c r="B7" s="280">
        <f>INDEX($T$3:$T$12, B2)</f>
        <v>0</v>
      </c>
      <c r="C7" s="40"/>
      <c r="D7" s="40"/>
      <c r="E7" s="40"/>
      <c r="F7" s="271"/>
      <c r="G7" s="271"/>
      <c r="J7" s="39">
        <v>5</v>
      </c>
      <c r="K7" s="39">
        <f>'Фасады EDGE'!$C$20</f>
        <v>0</v>
      </c>
      <c r="L7" s="39" t="e">
        <f>INDEX(Профили[арт], MATCH(K7, Профили[профиль], 0))</f>
        <v>#N/A</v>
      </c>
      <c r="M7" s="269">
        <f>'Фасады EDGE'!M20</f>
        <v>0</v>
      </c>
      <c r="N7" s="39" t="str">
        <f>IFERROR(INDEX(Вставки[арт],MATCH(M7,Вставки[вставка],0)),".")</f>
        <v>.</v>
      </c>
      <c r="O7" s="39" t="e">
        <f t="shared" si="0"/>
        <v>#N/A</v>
      </c>
      <c r="P7" s="270">
        <f>'Фасады EDGE'!$K$20</f>
        <v>0</v>
      </c>
      <c r="Q7" s="270">
        <f>'Фасады EDGE'!$Q$20</f>
        <v>0</v>
      </c>
      <c r="R7" s="270">
        <f>'Фасады EDGE'!$G$20</f>
        <v>0</v>
      </c>
      <c r="S7" s="270">
        <f>'Фасады EDGE'!$I$20</f>
        <v>0</v>
      </c>
      <c r="T7" s="273">
        <f>'Фасады EDGE'!$W$20</f>
        <v>0</v>
      </c>
      <c r="U7" s="270">
        <f>'Фасады EDGE'!$T$20</f>
        <v>0</v>
      </c>
      <c r="V7" s="428" t="e">
        <f>$B$158</f>
        <v>#N/A</v>
      </c>
      <c r="X7" s="162">
        <v>4</v>
      </c>
      <c r="Y7" s="164" t="str">
        <f>B20</f>
        <v>Фасад, Рамочный узкий профиль</v>
      </c>
      <c r="Z7" s="193" t="e">
        <f>D20</f>
        <v>#N/A</v>
      </c>
      <c r="AA7" s="192">
        <f>ROUNDUP(F20/5400*1.1*AD7, 2)</f>
        <v>0</v>
      </c>
      <c r="AB7" s="194"/>
      <c r="AC7" s="162" t="str">
        <f>B6&amp;"мм-"&amp;B7&amp;"шт"</f>
        <v>0мм-0шт</v>
      </c>
      <c r="AD7" s="310">
        <f>B7</f>
        <v>0</v>
      </c>
      <c r="AE7" s="197" t="s">
        <v>240</v>
      </c>
    </row>
    <row r="8" spans="1:31" ht="15" hidden="1" customHeight="1" outlineLevel="1" x14ac:dyDescent="0.3">
      <c r="A8" s="39" t="s">
        <v>360</v>
      </c>
      <c r="B8" s="269">
        <f>INDEX($M$3:$M$12, B2)</f>
        <v>0</v>
      </c>
      <c r="F8" s="124"/>
      <c r="G8" s="124"/>
      <c r="J8" s="39">
        <v>6</v>
      </c>
      <c r="K8" s="39">
        <f>'Фасады EDGE'!$C$23</f>
        <v>0</v>
      </c>
      <c r="L8" s="39" t="e">
        <f>INDEX(Профили[арт], MATCH(K8, Профили[профиль], 0))</f>
        <v>#N/A</v>
      </c>
      <c r="M8" s="269">
        <f>'Фасады EDGE'!M23</f>
        <v>0</v>
      </c>
      <c r="N8" s="39" t="str">
        <f>IFERROR(INDEX(Вставки[арт],MATCH(M8,Вставки[вставка],0)),".")</f>
        <v>.</v>
      </c>
      <c r="O8" s="39" t="e">
        <f t="shared" si="0"/>
        <v>#N/A</v>
      </c>
      <c r="P8" s="270">
        <f>'Фасады EDGE'!$K$23</f>
        <v>0</v>
      </c>
      <c r="Q8" s="270">
        <f>'Фасады EDGE'!$Q$23</f>
        <v>0</v>
      </c>
      <c r="R8" s="270">
        <f>'Фасады EDGE'!$G$23</f>
        <v>0</v>
      </c>
      <c r="S8" s="270">
        <f>'Фасады EDGE'!$I$23</f>
        <v>0</v>
      </c>
      <c r="T8" s="273">
        <f>'Фасады EDGE'!$W$23</f>
        <v>0</v>
      </c>
      <c r="U8" s="270">
        <f>'Фасады EDGE'!$T$23</f>
        <v>0</v>
      </c>
      <c r="V8" s="428" t="e">
        <f>$B$190</f>
        <v>#N/A</v>
      </c>
      <c r="X8" s="162">
        <v>5</v>
      </c>
      <c r="Y8" s="164">
        <f>B8</f>
        <v>0</v>
      </c>
      <c r="Z8" s="164" t="str">
        <f>B9</f>
        <v>.</v>
      </c>
      <c r="AA8" s="309">
        <f>B7</f>
        <v>0</v>
      </c>
      <c r="AB8" s="164" t="str">
        <f>CONCATENATE("В ",B11,", ","Ш ",B12)</f>
        <v>В -6, Ш -6</v>
      </c>
      <c r="AC8" s="164"/>
      <c r="AD8" s="310">
        <f>B7</f>
        <v>0</v>
      </c>
      <c r="AE8" s="197" t="s">
        <v>278</v>
      </c>
    </row>
    <row r="9" spans="1:31" ht="15" hidden="1" customHeight="1" outlineLevel="1" x14ac:dyDescent="0.3">
      <c r="A9" s="39" t="s">
        <v>381</v>
      </c>
      <c r="B9" s="269" t="str">
        <f>IFERROR(INDEX($N$3:$N$12, B2),0)</f>
        <v>.</v>
      </c>
      <c r="F9" s="124"/>
      <c r="G9" s="124"/>
      <c r="J9" s="39">
        <v>7</v>
      </c>
      <c r="K9" s="39">
        <f>'Фасады EDGE'!$C$26</f>
        <v>0</v>
      </c>
      <c r="L9" s="39" t="e">
        <f>INDEX(Профили[арт], MATCH(K9, Профили[профиль], 0))</f>
        <v>#N/A</v>
      </c>
      <c r="M9" s="269">
        <f>'Фасады EDGE'!M26</f>
        <v>0</v>
      </c>
      <c r="N9" s="39" t="str">
        <f>IFERROR(INDEX(Вставки[арт],MATCH(M9,Вставки[вставка],0)),".")</f>
        <v>.</v>
      </c>
      <c r="O9" s="39" t="e">
        <f t="shared" si="0"/>
        <v>#N/A</v>
      </c>
      <c r="P9" s="270">
        <f>'Фасады EDGE'!$K$26</f>
        <v>0</v>
      </c>
      <c r="Q9" s="270">
        <f>'Фасады EDGE'!$Q$26</f>
        <v>0</v>
      </c>
      <c r="R9" s="270">
        <f>'Фасады EDGE'!$G$26</f>
        <v>0</v>
      </c>
      <c r="S9" s="270">
        <f>'Фасады EDGE'!$I$26</f>
        <v>0</v>
      </c>
      <c r="T9" s="273">
        <f>'Фасады EDGE'!$W$26</f>
        <v>0</v>
      </c>
      <c r="U9" s="270">
        <f>'Фасады EDGE'!$T$26</f>
        <v>0</v>
      </c>
      <c r="V9" s="428" t="e">
        <f>$B$222</f>
        <v>#N/A</v>
      </c>
      <c r="X9" s="162">
        <v>6</v>
      </c>
      <c r="Y9" s="164" t="s">
        <v>242</v>
      </c>
      <c r="Z9" s="167" t="s">
        <v>243</v>
      </c>
      <c r="AA9" s="164">
        <f>IF(B5&gt;550,2*AD9,1*AD9)</f>
        <v>0</v>
      </c>
      <c r="AB9" s="164"/>
      <c r="AC9" s="164"/>
      <c r="AD9" s="310">
        <f>B7</f>
        <v>0</v>
      </c>
      <c r="AE9" s="197" t="s">
        <v>240</v>
      </c>
    </row>
    <row r="10" spans="1:31" ht="15" hidden="1" customHeight="1" outlineLevel="1" x14ac:dyDescent="0.3">
      <c r="A10" s="39" t="s">
        <v>398</v>
      </c>
      <c r="B10" s="281">
        <f>IFERROR(IF(B9=".", 0, VLOOKUP(B9, Ред!$B:$F, 4, 0)),0)</f>
        <v>0</v>
      </c>
      <c r="F10" s="124"/>
      <c r="G10" s="124"/>
      <c r="H10" s="124"/>
      <c r="J10" s="39">
        <v>8</v>
      </c>
      <c r="K10" s="39">
        <f>'Фасады EDGE'!$C$29</f>
        <v>0</v>
      </c>
      <c r="L10" s="39" t="e">
        <f>INDEX(Профили[арт], MATCH(K10, Профили[профиль], 0))</f>
        <v>#N/A</v>
      </c>
      <c r="M10" s="269">
        <f>'Фасады EDGE'!M29</f>
        <v>0</v>
      </c>
      <c r="N10" s="39" t="str">
        <f>IFERROR(INDEX(Вставки[арт],MATCH(M10,Вставки[вставка],0)),".")</f>
        <v>.</v>
      </c>
      <c r="O10" s="39" t="e">
        <f t="shared" si="0"/>
        <v>#N/A</v>
      </c>
      <c r="P10" s="270">
        <f>'Фасады EDGE'!$K$29</f>
        <v>0</v>
      </c>
      <c r="Q10" s="270">
        <f>'Фасады EDGE'!$Q$29</f>
        <v>0</v>
      </c>
      <c r="R10" s="270">
        <f>'Фасады EDGE'!$G$29</f>
        <v>0</v>
      </c>
      <c r="S10" s="270">
        <f>'Фасады EDGE'!$I$29</f>
        <v>0</v>
      </c>
      <c r="T10" s="273">
        <f>'Фасады EDGE'!$W$29</f>
        <v>0</v>
      </c>
      <c r="U10" s="270">
        <f>'Фасады EDGE'!$T$29</f>
        <v>0</v>
      </c>
      <c r="V10" s="428" t="e">
        <f>$B$254</f>
        <v>#N/A</v>
      </c>
      <c r="X10" s="162">
        <v>7</v>
      </c>
      <c r="Y10" s="164" t="s">
        <v>244</v>
      </c>
      <c r="Z10" s="167" t="s">
        <v>245</v>
      </c>
      <c r="AA10" s="164">
        <f>(B5+B6)*2/1000*AD10</f>
        <v>0</v>
      </c>
      <c r="AB10" s="164"/>
      <c r="AC10" s="164"/>
      <c r="AD10" s="310">
        <f>B7</f>
        <v>0</v>
      </c>
      <c r="AE10" s="197" t="s">
        <v>240</v>
      </c>
    </row>
    <row r="11" spans="1:31" s="40" customFormat="1" ht="15" hidden="1" customHeight="1" outlineLevel="1" x14ac:dyDescent="0.3">
      <c r="A11" s="39" t="s">
        <v>399</v>
      </c>
      <c r="B11" s="282">
        <f>B5-6</f>
        <v>-6</v>
      </c>
      <c r="C11" s="39"/>
      <c r="D11" s="39"/>
      <c r="E11" s="39"/>
      <c r="F11" s="124"/>
      <c r="G11" s="124"/>
      <c r="H11" s="271"/>
      <c r="J11" s="39">
        <v>9</v>
      </c>
      <c r="K11" s="39">
        <f>'Фасады EDGE'!$C$32</f>
        <v>0</v>
      </c>
      <c r="L11" s="39" t="e">
        <f>INDEX(Профили[арт], MATCH(K11, Профили[профиль], 0))</f>
        <v>#N/A</v>
      </c>
      <c r="M11" s="269">
        <f>'Фасады EDGE'!M32</f>
        <v>0</v>
      </c>
      <c r="N11" s="39" t="str">
        <f>IFERROR(INDEX(Вставки[арт],MATCH(M11,Вставки[вставка],0)),".")</f>
        <v>.</v>
      </c>
      <c r="O11" s="39" t="e">
        <f t="shared" si="0"/>
        <v>#N/A</v>
      </c>
      <c r="P11" s="271">
        <f>'Фасады EDGE'!$K$32</f>
        <v>0</v>
      </c>
      <c r="Q11" s="271">
        <f>'Фасады EDGE'!$Q$32</f>
        <v>0</v>
      </c>
      <c r="R11" s="271">
        <f>'Фасады EDGE'!$G$32</f>
        <v>0</v>
      </c>
      <c r="S11" s="271">
        <f>'Фасады EDGE'!$I$32</f>
        <v>0</v>
      </c>
      <c r="T11" s="274">
        <f>'Фасады EDGE'!$W$32</f>
        <v>0</v>
      </c>
      <c r="U11" s="271">
        <f>'Фасады EDGE'!$T$32</f>
        <v>0</v>
      </c>
      <c r="V11" s="429" t="e">
        <f>$B$286</f>
        <v>#N/A</v>
      </c>
      <c r="X11" s="162">
        <v>8</v>
      </c>
      <c r="Y11" s="165" t="s">
        <v>246</v>
      </c>
      <c r="Z11" s="167" t="s">
        <v>247</v>
      </c>
      <c r="AA11" s="164">
        <f>0.02*AD11</f>
        <v>0</v>
      </c>
      <c r="AB11" s="164"/>
      <c r="AC11" s="164"/>
      <c r="AD11" s="310">
        <f>B7</f>
        <v>0</v>
      </c>
      <c r="AE11" s="197" t="s">
        <v>240</v>
      </c>
    </row>
    <row r="12" spans="1:31" ht="15" hidden="1" customHeight="1" outlineLevel="1" x14ac:dyDescent="0.3">
      <c r="A12" s="39" t="s">
        <v>400</v>
      </c>
      <c r="B12" s="282">
        <f>B6-6</f>
        <v>-6</v>
      </c>
      <c r="C12" s="5"/>
      <c r="D12" s="124"/>
      <c r="E12" s="124"/>
      <c r="F12" s="124"/>
      <c r="G12" s="124"/>
      <c r="H12" s="124"/>
      <c r="J12" s="39">
        <v>10</v>
      </c>
      <c r="K12" s="39">
        <f>'Фасады EDGE'!$C$35</f>
        <v>0</v>
      </c>
      <c r="L12" s="39" t="e">
        <f>INDEX(Профили[арт], MATCH(K12, Профили[профиль], 0))</f>
        <v>#N/A</v>
      </c>
      <c r="M12" s="269">
        <f>'Фасады EDGE'!M35</f>
        <v>0</v>
      </c>
      <c r="N12" s="39" t="str">
        <f>IFERROR(INDEX(Вставки[арт],MATCH(M12,Вставки[вставка],0)),".")</f>
        <v>.</v>
      </c>
      <c r="O12" s="39" t="e">
        <f t="shared" si="0"/>
        <v>#N/A</v>
      </c>
      <c r="P12" s="270">
        <f>'Фасады EDGE'!$K$35</f>
        <v>0</v>
      </c>
      <c r="Q12" s="270">
        <f>'Фасады EDGE'!$Q$35</f>
        <v>0</v>
      </c>
      <c r="R12" s="270">
        <f>'Фасады EDGE'!$G$35</f>
        <v>0</v>
      </c>
      <c r="S12" s="270">
        <f>'Фасады EDGE'!$I$35</f>
        <v>0</v>
      </c>
      <c r="T12" s="273">
        <f>'Фасады EDGE'!$W$35</f>
        <v>0</v>
      </c>
      <c r="U12" s="270">
        <f>'Фасады EDGE'!$T$35</f>
        <v>0</v>
      </c>
      <c r="V12" s="428" t="e">
        <f>$B$318</f>
        <v>#N/A</v>
      </c>
      <c r="X12" s="162">
        <v>9</v>
      </c>
      <c r="Y12" s="164" t="s">
        <v>475</v>
      </c>
      <c r="Z12" s="167" t="s">
        <v>474</v>
      </c>
      <c r="AA12" s="193">
        <f>(((B6*2)/1000)+0.5)/66*B7</f>
        <v>0</v>
      </c>
      <c r="AB12" s="164"/>
      <c r="AC12" s="164"/>
      <c r="AD12" s="310">
        <f>B7</f>
        <v>0</v>
      </c>
      <c r="AE12" s="197" t="s">
        <v>240</v>
      </c>
    </row>
    <row r="13" spans="1:31" ht="15" hidden="1" customHeight="1" outlineLevel="1" x14ac:dyDescent="0.3">
      <c r="A13" s="39" t="s">
        <v>401</v>
      </c>
      <c r="B13" s="283">
        <f>B11*B12/1000000</f>
        <v>3.6000000000000001E-5</v>
      </c>
      <c r="C13" s="5"/>
      <c r="D13" s="124"/>
      <c r="E13" s="124"/>
      <c r="F13" s="124"/>
      <c r="G13" s="124"/>
      <c r="H13" s="124"/>
      <c r="X13" s="162">
        <v>10</v>
      </c>
      <c r="Y13" s="164" t="s">
        <v>248</v>
      </c>
      <c r="Z13" s="167" t="s">
        <v>249</v>
      </c>
      <c r="AA13" s="193">
        <f>((B6*8/1000)+0.5)/45*B7</f>
        <v>0</v>
      </c>
      <c r="AB13" s="164"/>
      <c r="AC13" s="164"/>
      <c r="AD13" s="310">
        <f>B7</f>
        <v>0</v>
      </c>
      <c r="AE13" s="197" t="s">
        <v>240</v>
      </c>
    </row>
    <row r="14" spans="1:31" ht="15" hidden="1" customHeight="1" outlineLevel="1" x14ac:dyDescent="0.3">
      <c r="A14" s="145" t="s">
        <v>402</v>
      </c>
      <c r="B14" s="284">
        <f>B10*B13*B7</f>
        <v>0</v>
      </c>
      <c r="H14" s="124"/>
      <c r="X14" s="188">
        <v>11</v>
      </c>
      <c r="Y14" s="189" t="s">
        <v>250</v>
      </c>
      <c r="Z14" s="190" t="s">
        <v>251</v>
      </c>
      <c r="AA14" s="189">
        <f>((B6*4/1000)+1)</f>
        <v>1</v>
      </c>
      <c r="AB14" s="189"/>
      <c r="AC14" s="189"/>
      <c r="AD14" s="311">
        <f>B7</f>
        <v>0</v>
      </c>
      <c r="AE14" s="197" t="s">
        <v>240</v>
      </c>
    </row>
    <row r="15" spans="1:31" ht="15" hidden="1" customHeight="1" outlineLevel="1" x14ac:dyDescent="0.3">
      <c r="A15" s="39" t="s">
        <v>576</v>
      </c>
      <c r="B15" s="356">
        <f>IFERROR(IF(D15,(B11+B12)/1000*2*F15*B7,0),0)</f>
        <v>0</v>
      </c>
      <c r="C15" s="39" t="s">
        <v>574</v>
      </c>
      <c r="D15" s="39">
        <f>IFERROR(INDEX(Вставки[Обработка],MATCH(B9,Вставки[арт],0)) = 1,0)</f>
        <v>0</v>
      </c>
      <c r="E15" s="39" t="s">
        <v>6</v>
      </c>
      <c r="F15" s="250">
        <f>Ред!$E$91</f>
        <v>198.79999999999998</v>
      </c>
      <c r="H15" s="124"/>
      <c r="X15" s="189">
        <v>12</v>
      </c>
      <c r="Y15" s="189" t="s">
        <v>279</v>
      </c>
      <c r="Z15" s="167" t="s">
        <v>280</v>
      </c>
      <c r="AA15" s="189">
        <v>1</v>
      </c>
      <c r="AB15" s="164"/>
      <c r="AC15" s="189"/>
      <c r="AD15" s="310">
        <v>1</v>
      </c>
      <c r="AE15" s="256" t="s">
        <v>240</v>
      </c>
    </row>
    <row r="16" spans="1:31" ht="15" hidden="1" customHeight="1" outlineLevel="1" x14ac:dyDescent="0.3">
      <c r="A16" s="5"/>
      <c r="B16" s="288" t="s">
        <v>15</v>
      </c>
      <c r="C16" s="289" t="s">
        <v>371</v>
      </c>
      <c r="D16" s="290" t="s">
        <v>5</v>
      </c>
      <c r="E16" s="290" t="s">
        <v>3</v>
      </c>
      <c r="F16" s="291" t="s">
        <v>380</v>
      </c>
      <c r="G16" s="291" t="s">
        <v>7</v>
      </c>
      <c r="H16" s="124"/>
      <c r="X16" s="162">
        <v>13</v>
      </c>
      <c r="Y16" s="49" t="e">
        <f>INDEX(Ред!$A:$A,MATCH(Z16,Ред!B:B,0))</f>
        <v>#N/A</v>
      </c>
      <c r="Z16" s="167">
        <f>B25</f>
        <v>0</v>
      </c>
      <c r="AA16" s="50">
        <f>D25</f>
        <v>0</v>
      </c>
      <c r="AB16" s="164"/>
      <c r="AC16" s="164"/>
      <c r="AD16" s="310">
        <f>AA16</f>
        <v>0</v>
      </c>
      <c r="AE16" s="164" t="s">
        <v>241</v>
      </c>
    </row>
    <row r="17" spans="1:31" ht="15" hidden="1" customHeight="1" outlineLevel="1" x14ac:dyDescent="0.3">
      <c r="A17" s="292" t="s">
        <v>104</v>
      </c>
      <c r="B17" s="49" t="str">
        <f>INDEX(ПрофилиАрт[полноенаим],MATCH(B3&amp;C17,ПрофилиАрт[поиск],0))</f>
        <v>Фасад, Рамочный узкий профиль</v>
      </c>
      <c r="C17" s="21" t="str">
        <f>IF(A17=INDEX($P$3:$P$12, B2), "Да", "Нет")</f>
        <v>Нет</v>
      </c>
      <c r="D17" s="48" t="e">
        <f>INDEX(ПрофилиАрт[], MATCH(B17, ПрофилиАрт[полноенаим], 0), MATCH(B4, ПрофилиАрт[#Headers], 0))</f>
        <v>#N/A</v>
      </c>
      <c r="E17" s="293" t="e">
        <f>VLOOKUP(D17, Ред!$B:$F, 4, 0)</f>
        <v>#N/A</v>
      </c>
      <c r="F17" s="48">
        <f>B5+IF(C17="Да", 200, 100)</f>
        <v>100</v>
      </c>
      <c r="G17" s="293" t="e">
        <f>E17/5400*F17*B7</f>
        <v>#N/A</v>
      </c>
      <c r="H17" s="124"/>
      <c r="X17" s="164">
        <v>14</v>
      </c>
      <c r="Y17" s="164" t="e">
        <f>INDEX(Ред!$A:$A,MATCH(Z17,Ред!B:B,0))</f>
        <v>#N/A</v>
      </c>
      <c r="Z17" s="167">
        <f>B26</f>
        <v>0</v>
      </c>
      <c r="AA17" s="193" t="e">
        <f>D26</f>
        <v>#N/A</v>
      </c>
      <c r="AB17" s="164"/>
      <c r="AC17" s="164"/>
      <c r="AD17" s="310">
        <f>B7</f>
        <v>0</v>
      </c>
      <c r="AE17" s="164" t="s">
        <v>240</v>
      </c>
    </row>
    <row r="18" spans="1:31" ht="15" hidden="1" customHeight="1" outlineLevel="1" x14ac:dyDescent="0.3">
      <c r="A18" s="292" t="s">
        <v>210</v>
      </c>
      <c r="B18" s="49" t="str">
        <f>INDEX(ПрофилиАрт[полноенаим],MATCH(B3&amp;C18,ПрофилиАрт[поиск],0))</f>
        <v>Фасад, Рамочный узкий профиль</v>
      </c>
      <c r="C18" s="21" t="str">
        <f>IF(A18=INDEX($P$3:$P$12, B2), "Да", "Нет")</f>
        <v>Нет</v>
      </c>
      <c r="D18" s="48" t="e">
        <f>INDEX(ПрофилиАрт[], MATCH(B18, ПрофилиАрт[полноенаим], 0), MATCH(B4, ПрофилиАрт[#Headers], 0))</f>
        <v>#N/A</v>
      </c>
      <c r="E18" s="293" t="e">
        <f>VLOOKUP(D18, Ред!$B:$F, 4, 0)</f>
        <v>#N/A</v>
      </c>
      <c r="F18" s="48">
        <f>B6+IF(C18="Да", 200, 100)</f>
        <v>100</v>
      </c>
      <c r="G18" s="293" t="e">
        <f>E18/5400*F18*B7</f>
        <v>#N/A</v>
      </c>
      <c r="H18" s="124"/>
      <c r="X18" s="164">
        <v>15</v>
      </c>
      <c r="Y18" s="164" t="e">
        <f>INDEX(Ред!$A:$A,MATCH(Z18,Ред!B:B,0))</f>
        <v>#N/A</v>
      </c>
      <c r="Z18" s="164">
        <f>B24</f>
        <v>0</v>
      </c>
      <c r="AA18" s="309">
        <f>D24</f>
        <v>0</v>
      </c>
      <c r="AB18" s="164"/>
      <c r="AC18" s="164"/>
      <c r="AD18" s="310">
        <f>B7</f>
        <v>0</v>
      </c>
      <c r="AE18" s="164" t="s">
        <v>241</v>
      </c>
    </row>
    <row r="19" spans="1:31" ht="15" hidden="1" customHeight="1" outlineLevel="1" x14ac:dyDescent="0.3">
      <c r="A19" s="292" t="s">
        <v>230</v>
      </c>
      <c r="B19" s="49" t="str">
        <f>INDEX(ПрофилиАрт[полноенаим],MATCH(B3&amp;C19,ПрофилиАрт[поиск],0))</f>
        <v>Фасад, Рамочный узкий профиль</v>
      </c>
      <c r="C19" s="21" t="str">
        <f>IF(A19=INDEX($P$3:$P$12, B2), "Да", "Нет")</f>
        <v>Нет</v>
      </c>
      <c r="D19" s="48" t="e">
        <f>INDEX(ПрофилиАрт[], MATCH(B19, ПрофилиАрт[полноенаим], 0), MATCH(B4, ПрофилиАрт[#Headers], 0))</f>
        <v>#N/A</v>
      </c>
      <c r="E19" s="293" t="e">
        <f>VLOOKUP(D19, Ред!$B:$F, 4, 0)</f>
        <v>#N/A</v>
      </c>
      <c r="F19" s="48">
        <f>B5+IF(C19="Да", 200, 100)</f>
        <v>100</v>
      </c>
      <c r="G19" s="293" t="e">
        <f>E19/5400*F19*B7</f>
        <v>#N/A</v>
      </c>
      <c r="H19" s="124"/>
    </row>
    <row r="20" spans="1:31" ht="15" hidden="1" customHeight="1" outlineLevel="1" x14ac:dyDescent="0.3">
      <c r="A20" s="292" t="s">
        <v>211</v>
      </c>
      <c r="B20" s="49" t="str">
        <f>INDEX(ПрофилиАрт[полноенаим],MATCH(B3&amp;C20,ПрофилиАрт[поиск],0))</f>
        <v>Фасад, Рамочный узкий профиль</v>
      </c>
      <c r="C20" s="21" t="str">
        <f>IF(A20=INDEX($P$3:$P$12, B2), "Да", "Нет")</f>
        <v>Нет</v>
      </c>
      <c r="D20" s="48" t="e">
        <f>INDEX(ПрофилиАрт[], MATCH(B20, ПрофилиАрт[полноенаим], 0), MATCH(B4, ПрофилиАрт[#Headers], 0))</f>
        <v>#N/A</v>
      </c>
      <c r="E20" s="293" t="e">
        <f>VLOOKUP(D20, Ред!$B:$F, 4, 0)</f>
        <v>#N/A</v>
      </c>
      <c r="F20" s="48">
        <f>B6+IF(C20="Да", 200, 100)</f>
        <v>100</v>
      </c>
      <c r="G20" s="293" t="e">
        <f>E20/5400*F20*B7</f>
        <v>#N/A</v>
      </c>
      <c r="H20" s="124"/>
    </row>
    <row r="21" spans="1:31" ht="15" hidden="1" customHeight="1" outlineLevel="1" x14ac:dyDescent="0.3">
      <c r="H21" s="124"/>
    </row>
    <row r="22" spans="1:31" ht="15" hidden="1" customHeight="1" outlineLevel="1" thickBot="1" x14ac:dyDescent="0.35">
      <c r="A22" s="297" t="s">
        <v>241</v>
      </c>
      <c r="B22" s="298" t="s">
        <v>389</v>
      </c>
      <c r="C22" s="299">
        <f>INDEX($Q$3:$Q$12, B2)</f>
        <v>0</v>
      </c>
      <c r="H22" s="124"/>
    </row>
    <row r="23" spans="1:31" ht="15" hidden="1" customHeight="1" outlineLevel="1" x14ac:dyDescent="0.3">
      <c r="B23" s="296" t="s">
        <v>390</v>
      </c>
      <c r="C23" s="19" t="s">
        <v>6</v>
      </c>
      <c r="D23" s="48" t="s">
        <v>379</v>
      </c>
      <c r="E23" s="48" t="s">
        <v>270</v>
      </c>
      <c r="F23" s="124"/>
      <c r="G23" s="124"/>
      <c r="H23" s="124"/>
    </row>
    <row r="24" spans="1:31" ht="15" hidden="1" customHeight="1" outlineLevel="1" x14ac:dyDescent="0.3">
      <c r="A24" s="294" t="s">
        <v>382</v>
      </c>
      <c r="B24" s="295">
        <f>IFERROR(INDEX(Фурнитура[Петли], MATCH(C22,Фурнитура[Цвет петель], 0)),0)</f>
        <v>0</v>
      </c>
      <c r="C24" s="293">
        <f>IFERROR(VLOOKUP(B24, Ред!$B:$F, 4, 0),0)</f>
        <v>0</v>
      </c>
      <c r="D24" s="50">
        <f>IF(INDEX($U$3:$U$12, B2)=0, 0, B7)</f>
        <v>0</v>
      </c>
      <c r="E24" s="48">
        <f>C24*D24</f>
        <v>0</v>
      </c>
      <c r="F24" s="124"/>
      <c r="G24" s="124"/>
      <c r="H24" s="124"/>
    </row>
    <row r="25" spans="1:31" ht="15" hidden="1" customHeight="1" outlineLevel="1" x14ac:dyDescent="0.3">
      <c r="A25" s="294" t="s">
        <v>383</v>
      </c>
      <c r="B25" s="295">
        <f>IFERROR(INDEX(Фурнитура[Уголок], MATCH(C22,Фурнитура[Цвет петель], 0)),0)</f>
        <v>0</v>
      </c>
      <c r="C25" s="293">
        <f>IFERROR(IF(B25="Нет", 0, VLOOKUP(B25, Ред!$B:$F, 4, 0)),0)</f>
        <v>0</v>
      </c>
      <c r="D25" s="50">
        <f>B7</f>
        <v>0</v>
      </c>
      <c r="E25" s="48">
        <f t="shared" ref="E25:E26" si="1">C25*D25</f>
        <v>0</v>
      </c>
      <c r="H25" s="124"/>
    </row>
    <row r="26" spans="1:31" ht="15" hidden="1" customHeight="1" outlineLevel="1" x14ac:dyDescent="0.3">
      <c r="A26" s="294" t="s">
        <v>384</v>
      </c>
      <c r="B26" s="295">
        <f>IFERROR(INDEX(Фурнитура[Уплотнитель], MATCH(C22,Фурнитура[Цвет петель], 0)),0)</f>
        <v>0</v>
      </c>
      <c r="C26" s="293">
        <f>IFERROR(VLOOKUP(B26, Ред!$B:$F, 4, 0),0)</f>
        <v>0</v>
      </c>
      <c r="D26" s="48" t="e">
        <f>IF(B4="BM",(((B5+B6)*2*B7/1000)/1)*1.1,(((B5+B6)*2*B7/1000)/1)*1.1)</f>
        <v>#N/A</v>
      </c>
      <c r="E26" s="48" t="e">
        <f t="shared" si="1"/>
        <v>#N/A</v>
      </c>
      <c r="H26" s="124"/>
    </row>
    <row r="27" spans="1:31" ht="15" hidden="1" customHeight="1" outlineLevel="1" x14ac:dyDescent="0.3">
      <c r="A27" s="70" t="s">
        <v>97</v>
      </c>
      <c r="B27" s="300"/>
      <c r="C27" s="71"/>
      <c r="D27" s="301"/>
      <c r="E27" s="71">
        <v>413</v>
      </c>
      <c r="F27" s="124"/>
      <c r="G27" s="124"/>
      <c r="H27" s="124"/>
    </row>
    <row r="28" spans="1:31" ht="15" hidden="1" customHeight="1" outlineLevel="1" x14ac:dyDescent="0.3">
      <c r="A28" s="70" t="s">
        <v>98</v>
      </c>
      <c r="B28" s="71"/>
      <c r="C28" s="71"/>
      <c r="D28" s="71"/>
      <c r="E28" s="71">
        <v>413</v>
      </c>
      <c r="H28" s="124"/>
    </row>
    <row r="29" spans="1:31" ht="15" hidden="1" customHeight="1" outlineLevel="1" x14ac:dyDescent="0.3"/>
    <row r="30" spans="1:31" ht="15" hidden="1" customHeight="1" outlineLevel="1" thickBot="1" x14ac:dyDescent="0.35">
      <c r="A30" s="302" t="s">
        <v>395</v>
      </c>
      <c r="B30" s="285" t="e">
        <f>SUM(B14:B15, G17:G20, E24:E28)</f>
        <v>#N/A</v>
      </c>
      <c r="C30" s="5"/>
      <c r="F30" s="278"/>
    </row>
    <row r="31" spans="1:31" ht="15" hidden="1" customHeight="1" outlineLevel="1" thickTop="1" x14ac:dyDescent="0.3">
      <c r="H31" s="124"/>
    </row>
    <row r="32" spans="1:31" hidden="1" outlineLevel="1" x14ac:dyDescent="0.3"/>
    <row r="33" spans="1:31" ht="16.2" hidden="1" outlineLevel="1" thickBot="1" x14ac:dyDescent="0.35">
      <c r="A33" s="145"/>
      <c r="B33" s="134"/>
      <c r="C33" s="5"/>
      <c r="X33" s="661" t="s">
        <v>261</v>
      </c>
      <c r="Y33" s="661"/>
      <c r="Z33" s="661"/>
      <c r="AA33" s="661"/>
      <c r="AB33" s="661"/>
      <c r="AC33" s="661"/>
      <c r="AD33" s="661"/>
      <c r="AE33" s="661"/>
    </row>
    <row r="34" spans="1:31" ht="15" customHeight="1" collapsed="1" thickTop="1" thickBot="1" x14ac:dyDescent="0.45">
      <c r="A34" s="286" t="s">
        <v>396</v>
      </c>
      <c r="B34" s="287">
        <v>2</v>
      </c>
      <c r="X34" s="147" t="s">
        <v>115</v>
      </c>
      <c r="Y34" s="147" t="s">
        <v>232</v>
      </c>
      <c r="Z34" s="147" t="s">
        <v>233</v>
      </c>
      <c r="AA34" s="163" t="s">
        <v>149</v>
      </c>
      <c r="AB34" s="147" t="s">
        <v>234</v>
      </c>
      <c r="AC34" s="147" t="s">
        <v>235</v>
      </c>
      <c r="AD34" s="148" t="s">
        <v>236</v>
      </c>
      <c r="AE34" s="147" t="s">
        <v>237</v>
      </c>
    </row>
    <row r="35" spans="1:31" ht="15" hidden="1" customHeight="1" outlineLevel="1" thickTop="1" x14ac:dyDescent="0.3">
      <c r="A35" s="134" t="s">
        <v>358</v>
      </c>
      <c r="B35" s="279" t="s">
        <v>365</v>
      </c>
      <c r="C35" s="5"/>
      <c r="X35" s="161"/>
      <c r="Y35" s="191" t="s">
        <v>15</v>
      </c>
      <c r="Z35" s="191" t="s">
        <v>5</v>
      </c>
      <c r="AA35" s="191" t="s">
        <v>238</v>
      </c>
      <c r="AB35" s="191" t="s">
        <v>239</v>
      </c>
      <c r="AC35" s="195" t="s">
        <v>16</v>
      </c>
      <c r="AD35" s="196" t="s">
        <v>8</v>
      </c>
      <c r="AE35" s="191"/>
    </row>
    <row r="36" spans="1:31" ht="15" hidden="1" customHeight="1" outlineLevel="1" x14ac:dyDescent="0.3">
      <c r="A36" s="5" t="s">
        <v>376</v>
      </c>
      <c r="B36" s="279" t="e">
        <f>INDEX($L$3:$L$12, B34)</f>
        <v>#N/A</v>
      </c>
      <c r="C36" s="5"/>
      <c r="X36" s="162">
        <v>1</v>
      </c>
      <c r="Y36" s="162" t="str">
        <f>B49</f>
        <v>Фасад, Рамочный узкий профиль</v>
      </c>
      <c r="Z36" s="166" t="e">
        <f>D49</f>
        <v>#N/A</v>
      </c>
      <c r="AA36" s="192">
        <f>ROUNDUP(F49/5400*1.1*AD36, 2)</f>
        <v>0</v>
      </c>
      <c r="AB36" s="194"/>
      <c r="AC36" s="162" t="str">
        <f>B37&amp;"мм-"&amp;B39&amp;"шт"</f>
        <v>0мм-0шт</v>
      </c>
      <c r="AD36" s="310">
        <f>B39</f>
        <v>0</v>
      </c>
      <c r="AE36" s="197" t="s">
        <v>240</v>
      </c>
    </row>
    <row r="37" spans="1:31" ht="15" hidden="1" customHeight="1" outlineLevel="1" x14ac:dyDescent="0.3">
      <c r="A37" s="5" t="s">
        <v>4</v>
      </c>
      <c r="B37" s="279">
        <f>INDEX($R$3:$R$12, B34)</f>
        <v>0</v>
      </c>
      <c r="C37" s="5"/>
      <c r="X37" s="162">
        <v>2</v>
      </c>
      <c r="Y37" s="162" t="str">
        <f>B50</f>
        <v>Фасад, Рамочный узкий профиль</v>
      </c>
      <c r="Z37" s="166" t="e">
        <f>D50</f>
        <v>#N/A</v>
      </c>
      <c r="AA37" s="192">
        <f>ROUNDUP(F50/5400*1.1*AD37, 2)</f>
        <v>0</v>
      </c>
      <c r="AB37" s="162"/>
      <c r="AC37" s="162" t="str">
        <f>B38&amp;"мм-"&amp;B39&amp;"шт"</f>
        <v>0мм-0шт</v>
      </c>
      <c r="AD37" s="310">
        <f>B39</f>
        <v>0</v>
      </c>
      <c r="AE37" s="197" t="s">
        <v>240</v>
      </c>
    </row>
    <row r="38" spans="1:31" ht="15" hidden="1" customHeight="1" outlineLevel="1" x14ac:dyDescent="0.3">
      <c r="A38" s="5" t="s">
        <v>1</v>
      </c>
      <c r="B38" s="279">
        <f>INDEX($S$3:$S$12, B34)</f>
        <v>0</v>
      </c>
      <c r="D38" s="134"/>
      <c r="E38" s="124"/>
      <c r="F38" s="124"/>
      <c r="G38" s="124"/>
      <c r="X38" s="162">
        <v>3</v>
      </c>
      <c r="Y38" s="164" t="str">
        <f>B51</f>
        <v>Фасад, Рамочный узкий профиль</v>
      </c>
      <c r="Z38" s="193" t="e">
        <f>D51</f>
        <v>#N/A</v>
      </c>
      <c r="AA38" s="192">
        <f>ROUNDUP(F51/5400*1.1*AD38, 2)</f>
        <v>0</v>
      </c>
      <c r="AB38" s="164"/>
      <c r="AC38" s="162" t="str">
        <f>B37&amp;"мм-"&amp;B39&amp;"шт"</f>
        <v>0мм-0шт</v>
      </c>
      <c r="AD38" s="310">
        <f>B39</f>
        <v>0</v>
      </c>
      <c r="AE38" s="197" t="s">
        <v>240</v>
      </c>
    </row>
    <row r="39" spans="1:31" ht="15" hidden="1" customHeight="1" outlineLevel="1" x14ac:dyDescent="0.3">
      <c r="A39" s="39" t="s">
        <v>72</v>
      </c>
      <c r="B39" s="280">
        <f>INDEX($T$3:$T$12, B34)</f>
        <v>0</v>
      </c>
      <c r="C39" s="40"/>
      <c r="D39" s="40"/>
      <c r="E39" s="40"/>
      <c r="F39" s="271"/>
      <c r="G39" s="271"/>
      <c r="X39" s="162">
        <v>4</v>
      </c>
      <c r="Y39" s="164" t="str">
        <f>B52</f>
        <v>Фасад, Рамочный узкий профиль</v>
      </c>
      <c r="Z39" s="193" t="e">
        <f>D52</f>
        <v>#N/A</v>
      </c>
      <c r="AA39" s="192">
        <f>ROUNDUP(F52/5400*1.1*AD39, 2)</f>
        <v>0</v>
      </c>
      <c r="AB39" s="194"/>
      <c r="AC39" s="162" t="str">
        <f>B38&amp;"мм-"&amp;B39&amp;"шт"</f>
        <v>0мм-0шт</v>
      </c>
      <c r="AD39" s="310">
        <f>B39</f>
        <v>0</v>
      </c>
      <c r="AE39" s="197" t="s">
        <v>240</v>
      </c>
    </row>
    <row r="40" spans="1:31" ht="15" hidden="1" customHeight="1" outlineLevel="1" x14ac:dyDescent="0.3">
      <c r="A40" s="39" t="s">
        <v>360</v>
      </c>
      <c r="B40" s="269">
        <f>INDEX($M$3:$M$12, B34)</f>
        <v>0</v>
      </c>
      <c r="F40" s="124"/>
      <c r="G40" s="124"/>
      <c r="X40" s="162">
        <v>5</v>
      </c>
      <c r="Y40" s="164">
        <f>B40</f>
        <v>0</v>
      </c>
      <c r="Z40" s="164" t="str">
        <f>B41</f>
        <v>.</v>
      </c>
      <c r="AA40" s="309">
        <f>B39</f>
        <v>0</v>
      </c>
      <c r="AB40" s="164" t="str">
        <f>CONCATENATE("В ",B43,", ","Ш ",B44)</f>
        <v>В -6, Ш -6</v>
      </c>
      <c r="AC40" s="164"/>
      <c r="AD40" s="310">
        <f>B39</f>
        <v>0</v>
      </c>
      <c r="AE40" s="197" t="s">
        <v>278</v>
      </c>
    </row>
    <row r="41" spans="1:31" ht="15" hidden="1" customHeight="1" outlineLevel="1" x14ac:dyDescent="0.3">
      <c r="A41" s="39" t="s">
        <v>381</v>
      </c>
      <c r="B41" s="269" t="str">
        <f>IFERROR(INDEX($N$3:$N$12, B34),0)</f>
        <v>.</v>
      </c>
      <c r="F41" s="124"/>
      <c r="G41" s="124"/>
      <c r="X41" s="162">
        <v>6</v>
      </c>
      <c r="Y41" s="164" t="s">
        <v>242</v>
      </c>
      <c r="Z41" s="167" t="s">
        <v>243</v>
      </c>
      <c r="AA41" s="164">
        <f>IF(B37&gt;550,2*AD41,1*AD41)</f>
        <v>0</v>
      </c>
      <c r="AB41" s="164"/>
      <c r="AC41" s="164"/>
      <c r="AD41" s="310">
        <f>B39</f>
        <v>0</v>
      </c>
      <c r="AE41" s="197" t="s">
        <v>240</v>
      </c>
    </row>
    <row r="42" spans="1:31" ht="15" hidden="1" customHeight="1" outlineLevel="1" x14ac:dyDescent="0.3">
      <c r="A42" s="39" t="s">
        <v>398</v>
      </c>
      <c r="B42" s="281">
        <f>IFERROR(IF(B41=".", 0, VLOOKUP(B41, Ред!$B:$F, 4, 0)),0)</f>
        <v>0</v>
      </c>
      <c r="F42" s="124"/>
      <c r="G42" s="124"/>
      <c r="H42" s="124"/>
      <c r="X42" s="162">
        <v>7</v>
      </c>
      <c r="Y42" s="164" t="s">
        <v>244</v>
      </c>
      <c r="Z42" s="167" t="s">
        <v>245</v>
      </c>
      <c r="AA42" s="164">
        <f>(B37+B38)*2/1000*AD42</f>
        <v>0</v>
      </c>
      <c r="AB42" s="164"/>
      <c r="AC42" s="164"/>
      <c r="AD42" s="310">
        <f>B39</f>
        <v>0</v>
      </c>
      <c r="AE42" s="197" t="s">
        <v>240</v>
      </c>
    </row>
    <row r="43" spans="1:31" s="40" customFormat="1" ht="15" hidden="1" customHeight="1" outlineLevel="1" x14ac:dyDescent="0.3">
      <c r="A43" s="39" t="s">
        <v>399</v>
      </c>
      <c r="B43" s="282">
        <f>B37-6</f>
        <v>-6</v>
      </c>
      <c r="C43" s="39"/>
      <c r="D43" s="39"/>
      <c r="E43" s="39"/>
      <c r="F43" s="124"/>
      <c r="G43" s="124"/>
      <c r="X43" s="162">
        <v>8</v>
      </c>
      <c r="Y43" s="165" t="s">
        <v>246</v>
      </c>
      <c r="Z43" s="167" t="s">
        <v>247</v>
      </c>
      <c r="AA43" s="164">
        <f>0.02*AD43</f>
        <v>0</v>
      </c>
      <c r="AB43" s="164"/>
      <c r="AC43" s="164"/>
      <c r="AD43" s="310">
        <f>B39</f>
        <v>0</v>
      </c>
      <c r="AE43" s="197" t="s">
        <v>240</v>
      </c>
    </row>
    <row r="44" spans="1:31" ht="15" hidden="1" customHeight="1" outlineLevel="1" x14ac:dyDescent="0.3">
      <c r="A44" s="39" t="s">
        <v>400</v>
      </c>
      <c r="B44" s="282">
        <f>B38-6</f>
        <v>-6</v>
      </c>
      <c r="C44" s="5"/>
      <c r="D44" s="124"/>
      <c r="E44" s="124"/>
      <c r="F44" s="124"/>
      <c r="G44" s="124"/>
      <c r="H44" s="124"/>
      <c r="X44" s="162">
        <v>9</v>
      </c>
      <c r="Y44" s="164" t="s">
        <v>475</v>
      </c>
      <c r="Z44" s="167" t="s">
        <v>474</v>
      </c>
      <c r="AA44" s="193">
        <f>(((B38*2)/1000)+0.5)/66*B39</f>
        <v>0</v>
      </c>
      <c r="AB44" s="164"/>
      <c r="AC44" s="164"/>
      <c r="AD44" s="310">
        <f>B39</f>
        <v>0</v>
      </c>
      <c r="AE44" s="197" t="s">
        <v>240</v>
      </c>
    </row>
    <row r="45" spans="1:31" ht="15" hidden="1" customHeight="1" outlineLevel="1" x14ac:dyDescent="0.3">
      <c r="A45" s="39" t="s">
        <v>401</v>
      </c>
      <c r="B45" s="283">
        <f>B43*B44/1000000</f>
        <v>3.6000000000000001E-5</v>
      </c>
      <c r="C45" s="5"/>
      <c r="D45" s="124"/>
      <c r="E45" s="124"/>
      <c r="F45" s="124"/>
      <c r="G45" s="124"/>
      <c r="H45" s="124"/>
      <c r="X45" s="162">
        <v>10</v>
      </c>
      <c r="Y45" s="164" t="s">
        <v>248</v>
      </c>
      <c r="Z45" s="167" t="s">
        <v>249</v>
      </c>
      <c r="AA45" s="193">
        <f>((B38*8/1000)+0.5)/45*B39</f>
        <v>0</v>
      </c>
      <c r="AB45" s="164"/>
      <c r="AC45" s="164"/>
      <c r="AD45" s="310">
        <f>B39</f>
        <v>0</v>
      </c>
      <c r="AE45" s="197" t="s">
        <v>240</v>
      </c>
    </row>
    <row r="46" spans="1:31" ht="15" hidden="1" customHeight="1" outlineLevel="1" x14ac:dyDescent="0.3">
      <c r="A46" s="145" t="s">
        <v>402</v>
      </c>
      <c r="B46" s="284">
        <f>B42*B45*B39</f>
        <v>0</v>
      </c>
      <c r="H46" s="124"/>
      <c r="X46" s="188">
        <v>11</v>
      </c>
      <c r="Y46" s="189" t="s">
        <v>250</v>
      </c>
      <c r="Z46" s="190" t="s">
        <v>251</v>
      </c>
      <c r="AA46" s="189">
        <f>((B38*4/1000)+1)</f>
        <v>1</v>
      </c>
      <c r="AB46" s="189"/>
      <c r="AC46" s="189"/>
      <c r="AD46" s="311">
        <f>B39</f>
        <v>0</v>
      </c>
      <c r="AE46" s="197" t="s">
        <v>240</v>
      </c>
    </row>
    <row r="47" spans="1:31" ht="15" hidden="1" customHeight="1" outlineLevel="1" x14ac:dyDescent="0.3">
      <c r="A47" s="39" t="s">
        <v>576</v>
      </c>
      <c r="B47" s="356">
        <f>IFERROR(IF(D47,(B43+B44)/1000*2*F47*B39,0),0)</f>
        <v>0</v>
      </c>
      <c r="C47" s="39" t="s">
        <v>574</v>
      </c>
      <c r="D47" s="39">
        <f>IFERROR(INDEX(Вставки[Обработка],MATCH(B41,Вставки[арт],0)) = 1,0)</f>
        <v>0</v>
      </c>
      <c r="E47" s="39" t="s">
        <v>6</v>
      </c>
      <c r="F47" s="250">
        <f>Ред!$E$91</f>
        <v>198.79999999999998</v>
      </c>
      <c r="H47" s="124"/>
      <c r="X47" s="189">
        <v>12</v>
      </c>
      <c r="Y47" s="189" t="s">
        <v>279</v>
      </c>
      <c r="Z47" s="167" t="s">
        <v>280</v>
      </c>
      <c r="AA47" s="189">
        <v>1</v>
      </c>
      <c r="AB47" s="164"/>
      <c r="AC47" s="189"/>
      <c r="AD47" s="310">
        <v>1</v>
      </c>
      <c r="AE47" s="256" t="s">
        <v>240</v>
      </c>
    </row>
    <row r="48" spans="1:31" ht="15" hidden="1" customHeight="1" outlineLevel="1" x14ac:dyDescent="0.3">
      <c r="A48" s="5"/>
      <c r="B48" s="288" t="s">
        <v>15</v>
      </c>
      <c r="C48" s="289" t="s">
        <v>371</v>
      </c>
      <c r="D48" s="290" t="s">
        <v>5</v>
      </c>
      <c r="E48" s="290" t="s">
        <v>3</v>
      </c>
      <c r="F48" s="291" t="s">
        <v>380</v>
      </c>
      <c r="G48" s="291" t="s">
        <v>7</v>
      </c>
      <c r="H48" s="124"/>
      <c r="X48" s="162">
        <v>13</v>
      </c>
      <c r="Y48" s="49" t="e">
        <f>INDEX(Ред!$A:$A,MATCH(Z48,Ред!B:B,0))</f>
        <v>#N/A</v>
      </c>
      <c r="Z48" s="167">
        <f>B57</f>
        <v>0</v>
      </c>
      <c r="AA48" s="50">
        <f>D57</f>
        <v>0</v>
      </c>
      <c r="AB48" s="164"/>
      <c r="AC48" s="164"/>
      <c r="AD48" s="310">
        <f>AA48</f>
        <v>0</v>
      </c>
      <c r="AE48" s="164" t="s">
        <v>241</v>
      </c>
    </row>
    <row r="49" spans="1:31" ht="15" hidden="1" customHeight="1" outlineLevel="1" x14ac:dyDescent="0.3">
      <c r="A49" s="292" t="s">
        <v>104</v>
      </c>
      <c r="B49" s="49" t="str">
        <f>INDEX(ПрофилиАрт[полноенаим],MATCH(B35&amp;C49,ПрофилиАрт[поиск],0))</f>
        <v>Фасад, Рамочный узкий профиль</v>
      </c>
      <c r="C49" s="21" t="str">
        <f>IF(A49=INDEX($P$3:$P$12, B34), "Да", "Нет")</f>
        <v>Нет</v>
      </c>
      <c r="D49" s="48" t="e">
        <f>INDEX(ПрофилиАрт[], MATCH(B49, ПрофилиАрт[полноенаим], 0), MATCH(B36, ПрофилиАрт[#Headers], 0))</f>
        <v>#N/A</v>
      </c>
      <c r="E49" s="293" t="e">
        <f>VLOOKUP(D49, Ред!$B:$F, 4, 0)</f>
        <v>#N/A</v>
      </c>
      <c r="F49" s="48">
        <f>B37+IF(C49="Да", 200, 100)</f>
        <v>100</v>
      </c>
      <c r="G49" s="293" t="e">
        <f>E49/5400*F49*B39</f>
        <v>#N/A</v>
      </c>
      <c r="H49" s="124"/>
      <c r="X49" s="164">
        <v>14</v>
      </c>
      <c r="Y49" s="164" t="e">
        <f>INDEX(Ред!$A:$A,MATCH(Z49,Ред!B:B,0))</f>
        <v>#N/A</v>
      </c>
      <c r="Z49" s="167">
        <f>B58</f>
        <v>0</v>
      </c>
      <c r="AA49" s="193" t="e">
        <f>ROUNDUP(D58/2.6,1)</f>
        <v>#N/A</v>
      </c>
      <c r="AB49" s="164"/>
      <c r="AC49" s="164"/>
      <c r="AD49" s="310">
        <f>B39</f>
        <v>0</v>
      </c>
      <c r="AE49" s="164" t="s">
        <v>240</v>
      </c>
    </row>
    <row r="50" spans="1:31" ht="15" hidden="1" customHeight="1" outlineLevel="1" x14ac:dyDescent="0.3">
      <c r="A50" s="292" t="s">
        <v>210</v>
      </c>
      <c r="B50" s="49" t="str">
        <f>INDEX(ПрофилиАрт[полноенаим],MATCH(B35&amp;C50,ПрофилиАрт[поиск],0))</f>
        <v>Фасад, Рамочный узкий профиль</v>
      </c>
      <c r="C50" s="21" t="str">
        <f>IF(A50=INDEX($P$3:$P$12, B34), "Да", "Нет")</f>
        <v>Нет</v>
      </c>
      <c r="D50" s="48" t="e">
        <f>INDEX(ПрофилиАрт[], MATCH(B50, ПрофилиАрт[полноенаим], 0), MATCH(B36, ПрофилиАрт[#Headers], 0))</f>
        <v>#N/A</v>
      </c>
      <c r="E50" s="293" t="e">
        <f>VLOOKUP(D50, Ред!$B:$F, 4, 0)</f>
        <v>#N/A</v>
      </c>
      <c r="F50" s="48">
        <f>B38+IF(C50="Да", 200, 100)</f>
        <v>100</v>
      </c>
      <c r="G50" s="293" t="e">
        <f>E50/5400*F50*B39</f>
        <v>#N/A</v>
      </c>
      <c r="H50" s="124"/>
      <c r="X50" s="164">
        <v>15</v>
      </c>
      <c r="Y50" s="164" t="e">
        <f>INDEX(Ред!$A:$A,MATCH(Z50,Ред!B:B,0))</f>
        <v>#N/A</v>
      </c>
      <c r="Z50" s="164">
        <f>B56</f>
        <v>0</v>
      </c>
      <c r="AA50" s="309">
        <f>D56</f>
        <v>0</v>
      </c>
      <c r="AB50" s="164"/>
      <c r="AC50" s="164"/>
      <c r="AD50" s="310">
        <f>B39</f>
        <v>0</v>
      </c>
      <c r="AE50" s="164" t="s">
        <v>241</v>
      </c>
    </row>
    <row r="51" spans="1:31" ht="15" hidden="1" customHeight="1" outlineLevel="1" x14ac:dyDescent="0.3">
      <c r="A51" s="292" t="s">
        <v>230</v>
      </c>
      <c r="B51" s="49" t="str">
        <f>INDEX(ПрофилиАрт[полноенаим],MATCH(B35&amp;C51,ПрофилиАрт[поиск],0))</f>
        <v>Фасад, Рамочный узкий профиль</v>
      </c>
      <c r="C51" s="21" t="str">
        <f>IF(A51=INDEX($P$3:$P$12, B34), "Да", "Нет")</f>
        <v>Нет</v>
      </c>
      <c r="D51" s="48" t="e">
        <f>INDEX(ПрофилиАрт[], MATCH(B51, ПрофилиАрт[полноенаим], 0), MATCH(B36, ПрофилиАрт[#Headers], 0))</f>
        <v>#N/A</v>
      </c>
      <c r="E51" s="293" t="e">
        <f>VLOOKUP(D51, Ред!$B:$F, 4, 0)</f>
        <v>#N/A</v>
      </c>
      <c r="F51" s="48">
        <f>B37+IF(C51="Да", 200, 100)</f>
        <v>100</v>
      </c>
      <c r="G51" s="293" t="e">
        <f>E51/5400*F51*B39</f>
        <v>#N/A</v>
      </c>
      <c r="H51" s="124"/>
    </row>
    <row r="52" spans="1:31" ht="15" hidden="1" customHeight="1" outlineLevel="1" x14ac:dyDescent="0.3">
      <c r="A52" s="292" t="s">
        <v>211</v>
      </c>
      <c r="B52" s="49" t="str">
        <f>INDEX(ПрофилиАрт[полноенаим],MATCH(B35&amp;C52,ПрофилиАрт[поиск],0))</f>
        <v>Фасад, Рамочный узкий профиль</v>
      </c>
      <c r="C52" s="21" t="str">
        <f>IF(A52=INDEX($P$3:$P$12, B34), "Да", "Нет")</f>
        <v>Нет</v>
      </c>
      <c r="D52" s="48" t="e">
        <f>INDEX(ПрофилиАрт[], MATCH(B52, ПрофилиАрт[полноенаим], 0), MATCH(B36, ПрофилиАрт[#Headers], 0))</f>
        <v>#N/A</v>
      </c>
      <c r="E52" s="293" t="e">
        <f>VLOOKUP(D52, Ред!$B:$F, 4, 0)</f>
        <v>#N/A</v>
      </c>
      <c r="F52" s="48">
        <f>B38+IF(C52="Да", 200, 100)</f>
        <v>100</v>
      </c>
      <c r="G52" s="293" t="e">
        <f>E52/5400*F52*B39</f>
        <v>#N/A</v>
      </c>
      <c r="H52" s="124"/>
    </row>
    <row r="53" spans="1:31" ht="15" hidden="1" customHeight="1" outlineLevel="1" x14ac:dyDescent="0.3">
      <c r="H53" s="124"/>
    </row>
    <row r="54" spans="1:31" ht="15" hidden="1" customHeight="1" outlineLevel="1" thickBot="1" x14ac:dyDescent="0.35">
      <c r="A54" s="297" t="s">
        <v>241</v>
      </c>
      <c r="B54" s="298" t="s">
        <v>389</v>
      </c>
      <c r="C54" s="299">
        <f>INDEX($Q$3:$Q$12, B34)</f>
        <v>0</v>
      </c>
      <c r="H54" s="124"/>
    </row>
    <row r="55" spans="1:31" ht="15" hidden="1" customHeight="1" outlineLevel="1" x14ac:dyDescent="0.3">
      <c r="B55" s="296" t="s">
        <v>390</v>
      </c>
      <c r="C55" s="19" t="s">
        <v>6</v>
      </c>
      <c r="D55" s="48" t="s">
        <v>379</v>
      </c>
      <c r="E55" s="48" t="s">
        <v>270</v>
      </c>
      <c r="F55" s="124"/>
      <c r="G55" s="124"/>
      <c r="H55" s="124"/>
    </row>
    <row r="56" spans="1:31" ht="15" hidden="1" customHeight="1" outlineLevel="1" x14ac:dyDescent="0.3">
      <c r="A56" s="294" t="s">
        <v>382</v>
      </c>
      <c r="B56" s="295">
        <f>IFERROR(INDEX(Фурнитура[Петли], MATCH(C54,Фурнитура[Цвет петель], 0)),0)</f>
        <v>0</v>
      </c>
      <c r="C56" s="293">
        <f>IFERROR(VLOOKUP(B56, Ред!$B:$F, 4, 0),0)</f>
        <v>0</v>
      </c>
      <c r="D56" s="50">
        <f>IF(INDEX($U$3:$U$12, B34)=0, 0, B39)</f>
        <v>0</v>
      </c>
      <c r="E56" s="48">
        <f>C56*D56</f>
        <v>0</v>
      </c>
      <c r="F56" s="124"/>
      <c r="G56" s="124"/>
      <c r="H56" s="124"/>
    </row>
    <row r="57" spans="1:31" ht="15" hidden="1" customHeight="1" outlineLevel="1" x14ac:dyDescent="0.3">
      <c r="A57" s="294" t="s">
        <v>383</v>
      </c>
      <c r="B57" s="295">
        <f>IFERROR(INDEX(Фурнитура[Уголок], MATCH(C54,Фурнитура[Цвет петель], 0)),0)</f>
        <v>0</v>
      </c>
      <c r="C57" s="293">
        <f>IFERROR(IF(B57="Нет", 0, VLOOKUP(B57, Ред!$B:$F, 4, 0)),0)</f>
        <v>0</v>
      </c>
      <c r="D57" s="50">
        <f>B39</f>
        <v>0</v>
      </c>
      <c r="E57" s="48">
        <f t="shared" ref="E57:E58" si="2">C57*D57</f>
        <v>0</v>
      </c>
      <c r="H57" s="124"/>
    </row>
    <row r="58" spans="1:31" ht="15" hidden="1" customHeight="1" outlineLevel="1" x14ac:dyDescent="0.3">
      <c r="A58" s="294" t="s">
        <v>384</v>
      </c>
      <c r="B58" s="295">
        <f>IFERROR(INDEX(Фурнитура[Уплотнитель], MATCH(C54,Фурнитура[Цвет петель], 0)),0)</f>
        <v>0</v>
      </c>
      <c r="C58" s="293">
        <f>IFERROR(VLOOKUP(B58, Ред!$B:$F, 4, 0),0)</f>
        <v>0</v>
      </c>
      <c r="D58" s="48" t="e">
        <f>IF(B36="BM",(((B37+B38)*2*B39/1000)/1)*1.1,(((B37+B38)*2*B39/1000)/1)*1.1)</f>
        <v>#N/A</v>
      </c>
      <c r="E58" s="48" t="e">
        <f t="shared" si="2"/>
        <v>#N/A</v>
      </c>
      <c r="H58" s="124"/>
    </row>
    <row r="59" spans="1:31" ht="15" hidden="1" customHeight="1" outlineLevel="1" x14ac:dyDescent="0.3">
      <c r="A59" s="70" t="s">
        <v>97</v>
      </c>
      <c r="B59" s="300"/>
      <c r="C59" s="71"/>
      <c r="D59" s="301"/>
      <c r="E59" s="71">
        <v>413</v>
      </c>
      <c r="F59" s="124"/>
      <c r="G59" s="124"/>
      <c r="H59" s="124"/>
    </row>
    <row r="60" spans="1:31" ht="15" hidden="1" customHeight="1" outlineLevel="1" x14ac:dyDescent="0.3">
      <c r="A60" s="70" t="s">
        <v>98</v>
      </c>
      <c r="B60" s="71"/>
      <c r="C60" s="71"/>
      <c r="D60" s="71"/>
      <c r="E60" s="71">
        <v>413</v>
      </c>
      <c r="H60" s="124"/>
    </row>
    <row r="61" spans="1:31" ht="15" hidden="1" customHeight="1" outlineLevel="1" x14ac:dyDescent="0.3"/>
    <row r="62" spans="1:31" ht="15" hidden="1" customHeight="1" outlineLevel="1" thickBot="1" x14ac:dyDescent="0.35">
      <c r="A62" s="302" t="s">
        <v>395</v>
      </c>
      <c r="B62" s="285" t="e">
        <f>SUM(B46:B47, G49:G52, E56:E60)</f>
        <v>#N/A</v>
      </c>
      <c r="C62" s="5"/>
      <c r="F62" s="278"/>
    </row>
    <row r="63" spans="1:31" ht="15" hidden="1" customHeight="1" outlineLevel="1" thickTop="1" x14ac:dyDescent="0.3">
      <c r="A63" s="145"/>
      <c r="B63" s="134"/>
      <c r="D63" s="124"/>
      <c r="E63" s="124"/>
      <c r="F63" s="124"/>
      <c r="G63" s="124"/>
      <c r="H63" s="124"/>
    </row>
    <row r="64" spans="1:31" ht="15.6" hidden="1" outlineLevel="1" x14ac:dyDescent="0.3">
      <c r="A64" s="145"/>
      <c r="B64" s="134"/>
      <c r="C64" s="5"/>
    </row>
    <row r="65" spans="1:31" ht="16.2" hidden="1" outlineLevel="1" thickBot="1" x14ac:dyDescent="0.35">
      <c r="A65" s="145"/>
      <c r="B65" s="134"/>
      <c r="C65" s="5"/>
      <c r="X65" s="661" t="s">
        <v>260</v>
      </c>
      <c r="Y65" s="661"/>
      <c r="Z65" s="661"/>
      <c r="AA65" s="661"/>
      <c r="AB65" s="661"/>
      <c r="AC65" s="661"/>
      <c r="AD65" s="661"/>
      <c r="AE65" s="661"/>
    </row>
    <row r="66" spans="1:31" ht="15" customHeight="1" collapsed="1" thickTop="1" thickBot="1" x14ac:dyDescent="0.45">
      <c r="A66" s="286" t="s">
        <v>396</v>
      </c>
      <c r="B66" s="287">
        <v>3</v>
      </c>
      <c r="X66" s="147" t="s">
        <v>115</v>
      </c>
      <c r="Y66" s="147" t="s">
        <v>232</v>
      </c>
      <c r="Z66" s="147" t="s">
        <v>233</v>
      </c>
      <c r="AA66" s="163" t="s">
        <v>149</v>
      </c>
      <c r="AB66" s="147" t="s">
        <v>234</v>
      </c>
      <c r="AC66" s="147" t="s">
        <v>235</v>
      </c>
      <c r="AD66" s="148" t="s">
        <v>236</v>
      </c>
      <c r="AE66" s="147" t="s">
        <v>237</v>
      </c>
    </row>
    <row r="67" spans="1:31" ht="15" hidden="1" customHeight="1" outlineLevel="1" thickTop="1" x14ac:dyDescent="0.3">
      <c r="A67" s="134" t="s">
        <v>358</v>
      </c>
      <c r="B67" s="279" t="s">
        <v>365</v>
      </c>
      <c r="C67" s="5"/>
      <c r="X67" s="161"/>
      <c r="Y67" s="191" t="s">
        <v>15</v>
      </c>
      <c r="Z67" s="191" t="s">
        <v>5</v>
      </c>
      <c r="AA67" s="191" t="s">
        <v>238</v>
      </c>
      <c r="AB67" s="191" t="s">
        <v>239</v>
      </c>
      <c r="AC67" s="195" t="s">
        <v>16</v>
      </c>
      <c r="AD67" s="196" t="s">
        <v>8</v>
      </c>
      <c r="AE67" s="191"/>
    </row>
    <row r="68" spans="1:31" ht="15" hidden="1" customHeight="1" outlineLevel="1" x14ac:dyDescent="0.3">
      <c r="A68" s="5" t="s">
        <v>376</v>
      </c>
      <c r="B68" s="279" t="e">
        <f>INDEX($L$3:$L$12, B66)</f>
        <v>#N/A</v>
      </c>
      <c r="C68" s="5"/>
      <c r="X68" s="162">
        <v>1</v>
      </c>
      <c r="Y68" s="162" t="str">
        <f>B81</f>
        <v>Фасад, Рамочный узкий профиль</v>
      </c>
      <c r="Z68" s="166" t="e">
        <f>D81</f>
        <v>#N/A</v>
      </c>
      <c r="AA68" s="192">
        <f>ROUNDUP(F81/5400*1.1*AD68, 2)</f>
        <v>0</v>
      </c>
      <c r="AB68" s="194"/>
      <c r="AC68" s="162" t="str">
        <f>B69&amp;"мм-"&amp;B71&amp;"шт"</f>
        <v>0мм-0шт</v>
      </c>
      <c r="AD68" s="310">
        <f>B71</f>
        <v>0</v>
      </c>
      <c r="AE68" s="197" t="s">
        <v>240</v>
      </c>
    </row>
    <row r="69" spans="1:31" ht="15" hidden="1" customHeight="1" outlineLevel="1" x14ac:dyDescent="0.3">
      <c r="A69" s="5" t="s">
        <v>4</v>
      </c>
      <c r="B69" s="279">
        <f>INDEX($R$3:$R$12, B66)</f>
        <v>0</v>
      </c>
      <c r="C69" s="5"/>
      <c r="X69" s="162">
        <v>2</v>
      </c>
      <c r="Y69" s="162" t="str">
        <f>B82</f>
        <v>Фасад, Рамочный узкий профиль</v>
      </c>
      <c r="Z69" s="166" t="e">
        <f>D82</f>
        <v>#N/A</v>
      </c>
      <c r="AA69" s="192">
        <f>ROUNDUP(F82/5400*1.1*AD69, 2)</f>
        <v>0</v>
      </c>
      <c r="AB69" s="162"/>
      <c r="AC69" s="162" t="str">
        <f>B70&amp;"мм-"&amp;B71&amp;"шт"</f>
        <v>0мм-0шт</v>
      </c>
      <c r="AD69" s="310">
        <f>B71</f>
        <v>0</v>
      </c>
      <c r="AE69" s="197" t="s">
        <v>240</v>
      </c>
    </row>
    <row r="70" spans="1:31" ht="15" hidden="1" customHeight="1" outlineLevel="1" x14ac:dyDescent="0.3">
      <c r="A70" s="5" t="s">
        <v>1</v>
      </c>
      <c r="B70" s="279">
        <f>INDEX($S$3:$S$12, B66)</f>
        <v>0</v>
      </c>
      <c r="D70" s="134"/>
      <c r="E70" s="124"/>
      <c r="F70" s="124"/>
      <c r="G70" s="124"/>
      <c r="X70" s="162">
        <v>3</v>
      </c>
      <c r="Y70" s="164" t="str">
        <f>B83</f>
        <v>Фасад, Рамочный узкий профиль</v>
      </c>
      <c r="Z70" s="193" t="e">
        <f>D83</f>
        <v>#N/A</v>
      </c>
      <c r="AA70" s="192">
        <f>ROUNDUP(F83/5400*1.1*AD70, 2)</f>
        <v>0</v>
      </c>
      <c r="AB70" s="164"/>
      <c r="AC70" s="162" t="str">
        <f>B69&amp;"мм-"&amp;B71&amp;"шт"</f>
        <v>0мм-0шт</v>
      </c>
      <c r="AD70" s="310">
        <f>B71</f>
        <v>0</v>
      </c>
      <c r="AE70" s="197" t="s">
        <v>240</v>
      </c>
    </row>
    <row r="71" spans="1:31" ht="15" hidden="1" customHeight="1" outlineLevel="1" x14ac:dyDescent="0.3">
      <c r="A71" s="39" t="s">
        <v>72</v>
      </c>
      <c r="B71" s="280">
        <f>INDEX($T$3:$T$12, B66)</f>
        <v>0</v>
      </c>
      <c r="C71" s="40"/>
      <c r="D71" s="40"/>
      <c r="E71" s="40"/>
      <c r="F71" s="271"/>
      <c r="G71" s="271"/>
      <c r="X71" s="162">
        <v>4</v>
      </c>
      <c r="Y71" s="164" t="str">
        <f>B84</f>
        <v>Фасад, Рамочный узкий профиль</v>
      </c>
      <c r="Z71" s="193" t="e">
        <f>D84</f>
        <v>#N/A</v>
      </c>
      <c r="AA71" s="192">
        <f>ROUNDUP(F84/5400*1.1*AD71, 2)</f>
        <v>0</v>
      </c>
      <c r="AB71" s="194"/>
      <c r="AC71" s="162" t="str">
        <f>B70&amp;"мм-"&amp;B71&amp;"шт"</f>
        <v>0мм-0шт</v>
      </c>
      <c r="AD71" s="310">
        <f>B71</f>
        <v>0</v>
      </c>
      <c r="AE71" s="197" t="s">
        <v>240</v>
      </c>
    </row>
    <row r="72" spans="1:31" ht="15" hidden="1" customHeight="1" outlineLevel="1" x14ac:dyDescent="0.3">
      <c r="A72" s="39" t="s">
        <v>360</v>
      </c>
      <c r="B72" s="269">
        <f>INDEX($M$3:$M$12, B66)</f>
        <v>0</v>
      </c>
      <c r="F72" s="124"/>
      <c r="G72" s="124"/>
      <c r="X72" s="162">
        <v>5</v>
      </c>
      <c r="Y72" s="164">
        <f>B72</f>
        <v>0</v>
      </c>
      <c r="Z72" s="164" t="str">
        <f>B73</f>
        <v>.</v>
      </c>
      <c r="AA72" s="309">
        <f>B71</f>
        <v>0</v>
      </c>
      <c r="AB72" s="164" t="str">
        <f>CONCATENATE("В ",B75,", ","Ш ",B76)</f>
        <v>В -6, Ш -6</v>
      </c>
      <c r="AC72" s="164"/>
      <c r="AD72" s="310">
        <f>B71</f>
        <v>0</v>
      </c>
      <c r="AE72" s="197" t="s">
        <v>278</v>
      </c>
    </row>
    <row r="73" spans="1:31" ht="15" hidden="1" customHeight="1" outlineLevel="1" x14ac:dyDescent="0.3">
      <c r="A73" s="39" t="s">
        <v>381</v>
      </c>
      <c r="B73" s="269" t="str">
        <f>IFERROR(INDEX($N$3:$N$12, B66),0)</f>
        <v>.</v>
      </c>
      <c r="F73" s="124"/>
      <c r="G73" s="124"/>
      <c r="X73" s="162">
        <v>6</v>
      </c>
      <c r="Y73" s="164" t="s">
        <v>242</v>
      </c>
      <c r="Z73" s="167" t="s">
        <v>243</v>
      </c>
      <c r="AA73" s="164">
        <f>IF(B69&gt;550,2*AD73,1*AD73)</f>
        <v>0</v>
      </c>
      <c r="AB73" s="164"/>
      <c r="AC73" s="164"/>
      <c r="AD73" s="310">
        <f>B71</f>
        <v>0</v>
      </c>
      <c r="AE73" s="197" t="s">
        <v>240</v>
      </c>
    </row>
    <row r="74" spans="1:31" ht="15" hidden="1" customHeight="1" outlineLevel="1" x14ac:dyDescent="0.3">
      <c r="A74" s="39" t="s">
        <v>398</v>
      </c>
      <c r="B74" s="281">
        <f>IFERROR(IF(B73=".", 0, VLOOKUP(B73, Ред!$B:$F, 4, 0)),0)</f>
        <v>0</v>
      </c>
      <c r="F74" s="124"/>
      <c r="G74" s="124"/>
      <c r="H74" s="124"/>
      <c r="X74" s="162">
        <v>7</v>
      </c>
      <c r="Y74" s="164" t="s">
        <v>244</v>
      </c>
      <c r="Z74" s="167" t="s">
        <v>245</v>
      </c>
      <c r="AA74" s="164">
        <f>(B69+B70)*2/1000*AD74</f>
        <v>0</v>
      </c>
      <c r="AB74" s="164"/>
      <c r="AC74" s="164"/>
      <c r="AD74" s="310">
        <f>B71</f>
        <v>0</v>
      </c>
      <c r="AE74" s="197" t="s">
        <v>240</v>
      </c>
    </row>
    <row r="75" spans="1:31" s="40" customFormat="1" ht="15" hidden="1" customHeight="1" outlineLevel="1" x14ac:dyDescent="0.3">
      <c r="A75" s="39" t="s">
        <v>399</v>
      </c>
      <c r="B75" s="282">
        <f>B69-6</f>
        <v>-6</v>
      </c>
      <c r="C75" s="39"/>
      <c r="D75" s="39"/>
      <c r="E75" s="39"/>
      <c r="F75" s="124"/>
      <c r="G75" s="124"/>
      <c r="X75" s="162">
        <v>8</v>
      </c>
      <c r="Y75" s="165" t="s">
        <v>246</v>
      </c>
      <c r="Z75" s="167" t="s">
        <v>247</v>
      </c>
      <c r="AA75" s="164">
        <f>0.02*AD75</f>
        <v>0</v>
      </c>
      <c r="AB75" s="164"/>
      <c r="AC75" s="164"/>
      <c r="AD75" s="310">
        <f>B71</f>
        <v>0</v>
      </c>
      <c r="AE75" s="197" t="s">
        <v>240</v>
      </c>
    </row>
    <row r="76" spans="1:31" ht="15" hidden="1" customHeight="1" outlineLevel="1" x14ac:dyDescent="0.3">
      <c r="A76" s="39" t="s">
        <v>400</v>
      </c>
      <c r="B76" s="282">
        <f>B70-6</f>
        <v>-6</v>
      </c>
      <c r="C76" s="5"/>
      <c r="D76" s="124"/>
      <c r="E76" s="124"/>
      <c r="F76" s="124"/>
      <c r="G76" s="124"/>
      <c r="H76" s="124"/>
      <c r="X76" s="162">
        <v>9</v>
      </c>
      <c r="Y76" s="164" t="s">
        <v>475</v>
      </c>
      <c r="Z76" s="167" t="s">
        <v>474</v>
      </c>
      <c r="AA76" s="193">
        <f>(((B70*2)/1000)+0.5)/66*B71</f>
        <v>0</v>
      </c>
      <c r="AB76" s="164"/>
      <c r="AC76" s="164"/>
      <c r="AD76" s="310">
        <f>B71</f>
        <v>0</v>
      </c>
      <c r="AE76" s="197" t="s">
        <v>240</v>
      </c>
    </row>
    <row r="77" spans="1:31" ht="15" hidden="1" customHeight="1" outlineLevel="1" x14ac:dyDescent="0.3">
      <c r="A77" s="39" t="s">
        <v>401</v>
      </c>
      <c r="B77" s="283">
        <f>B75*B76/1000000</f>
        <v>3.6000000000000001E-5</v>
      </c>
      <c r="C77" s="5"/>
      <c r="D77" s="124"/>
      <c r="E77" s="124"/>
      <c r="F77" s="124"/>
      <c r="G77" s="124"/>
      <c r="H77" s="124"/>
      <c r="X77" s="162">
        <v>10</v>
      </c>
      <c r="Y77" s="164" t="s">
        <v>248</v>
      </c>
      <c r="Z77" s="167" t="s">
        <v>249</v>
      </c>
      <c r="AA77" s="193">
        <f>((B70*8/1000)+0.5)/45*B71</f>
        <v>0</v>
      </c>
      <c r="AB77" s="164"/>
      <c r="AC77" s="164"/>
      <c r="AD77" s="310">
        <f>B71</f>
        <v>0</v>
      </c>
      <c r="AE77" s="197" t="s">
        <v>240</v>
      </c>
    </row>
    <row r="78" spans="1:31" ht="15" hidden="1" customHeight="1" outlineLevel="1" x14ac:dyDescent="0.3">
      <c r="A78" s="145" t="s">
        <v>402</v>
      </c>
      <c r="B78" s="284">
        <f>B74*B77*B71</f>
        <v>0</v>
      </c>
      <c r="H78" s="124"/>
      <c r="X78" s="188">
        <v>11</v>
      </c>
      <c r="Y78" s="189" t="s">
        <v>250</v>
      </c>
      <c r="Z78" s="190" t="s">
        <v>251</v>
      </c>
      <c r="AA78" s="189">
        <f>((B70*4/1000)+1)</f>
        <v>1</v>
      </c>
      <c r="AB78" s="189"/>
      <c r="AC78" s="189"/>
      <c r="AD78" s="311">
        <f>B71</f>
        <v>0</v>
      </c>
      <c r="AE78" s="197" t="s">
        <v>240</v>
      </c>
    </row>
    <row r="79" spans="1:31" ht="15" hidden="1" customHeight="1" outlineLevel="1" x14ac:dyDescent="0.3">
      <c r="A79" s="39" t="s">
        <v>576</v>
      </c>
      <c r="B79" s="356">
        <f>IFERROR(IF(D79,(B75+B76)/1000*2*F79*B71,0),0)</f>
        <v>0</v>
      </c>
      <c r="C79" s="39" t="s">
        <v>574</v>
      </c>
      <c r="D79" s="39">
        <f>IFERROR(INDEX(Вставки[Обработка],MATCH(B73,Вставки[арт],0)) = 1,0)</f>
        <v>0</v>
      </c>
      <c r="E79" s="39" t="s">
        <v>6</v>
      </c>
      <c r="F79" s="250">
        <f>Ред!$E$91</f>
        <v>198.79999999999998</v>
      </c>
      <c r="H79" s="124"/>
      <c r="X79" s="189">
        <v>12</v>
      </c>
      <c r="Y79" s="189" t="s">
        <v>279</v>
      </c>
      <c r="Z79" s="167" t="s">
        <v>280</v>
      </c>
      <c r="AA79" s="189">
        <v>1</v>
      </c>
      <c r="AB79" s="164"/>
      <c r="AC79" s="189"/>
      <c r="AD79" s="310">
        <v>1</v>
      </c>
      <c r="AE79" s="256" t="s">
        <v>240</v>
      </c>
    </row>
    <row r="80" spans="1:31" ht="15" hidden="1" customHeight="1" outlineLevel="1" x14ac:dyDescent="0.3">
      <c r="A80" s="5"/>
      <c r="B80" s="288" t="s">
        <v>15</v>
      </c>
      <c r="C80" s="289" t="s">
        <v>371</v>
      </c>
      <c r="D80" s="290" t="s">
        <v>5</v>
      </c>
      <c r="E80" s="290" t="s">
        <v>3</v>
      </c>
      <c r="F80" s="291" t="s">
        <v>380</v>
      </c>
      <c r="G80" s="291" t="s">
        <v>7</v>
      </c>
      <c r="H80" s="124"/>
      <c r="X80" s="162">
        <v>13</v>
      </c>
      <c r="Y80" s="49" t="e">
        <f>INDEX(Ред!$A:$A,MATCH(Z80,Ред!B:B,0))</f>
        <v>#N/A</v>
      </c>
      <c r="Z80" s="167">
        <f>B89</f>
        <v>0</v>
      </c>
      <c r="AA80" s="50">
        <f>D89</f>
        <v>0</v>
      </c>
      <c r="AB80" s="164"/>
      <c r="AC80" s="164"/>
      <c r="AD80" s="310">
        <f>AA80</f>
        <v>0</v>
      </c>
      <c r="AE80" s="164" t="s">
        <v>241</v>
      </c>
    </row>
    <row r="81" spans="1:31" ht="15" hidden="1" customHeight="1" outlineLevel="1" x14ac:dyDescent="0.3">
      <c r="A81" s="292" t="s">
        <v>104</v>
      </c>
      <c r="B81" s="49" t="str">
        <f>INDEX(ПрофилиАрт[полноенаим],MATCH(B67&amp;C81,ПрофилиАрт[поиск],0))</f>
        <v>Фасад, Рамочный узкий профиль</v>
      </c>
      <c r="C81" s="21" t="str">
        <f>IF(A81=INDEX($P$3:$P$12, B66), "Да", "Нет")</f>
        <v>Нет</v>
      </c>
      <c r="D81" s="48" t="e">
        <f>INDEX(ПрофилиАрт[], MATCH(B81, ПрофилиАрт[полноенаим], 0), MATCH(B68, ПрофилиАрт[#Headers], 0))</f>
        <v>#N/A</v>
      </c>
      <c r="E81" s="293" t="e">
        <f>VLOOKUP(D81, Ред!$B:$F, 4, 0)</f>
        <v>#N/A</v>
      </c>
      <c r="F81" s="48">
        <f>B69+IF(C81="Да", 200, 100)</f>
        <v>100</v>
      </c>
      <c r="G81" s="293" t="e">
        <f>E81/5400*F81*B71</f>
        <v>#N/A</v>
      </c>
      <c r="H81" s="124"/>
      <c r="X81" s="164">
        <v>14</v>
      </c>
      <c r="Y81" s="164" t="e">
        <f>INDEX(Ред!$A:$A,MATCH(Z81,Ред!B:B,0))</f>
        <v>#N/A</v>
      </c>
      <c r="Z81" s="167">
        <f>B90</f>
        <v>0</v>
      </c>
      <c r="AA81" s="193" t="e">
        <f>ROUNDUP(D90/2.6,1)</f>
        <v>#N/A</v>
      </c>
      <c r="AB81" s="164"/>
      <c r="AC81" s="164"/>
      <c r="AD81" s="310">
        <f>B71</f>
        <v>0</v>
      </c>
      <c r="AE81" s="164" t="s">
        <v>240</v>
      </c>
    </row>
    <row r="82" spans="1:31" ht="15" hidden="1" customHeight="1" outlineLevel="1" x14ac:dyDescent="0.3">
      <c r="A82" s="292" t="s">
        <v>210</v>
      </c>
      <c r="B82" s="49" t="str">
        <f>INDEX(ПрофилиАрт[полноенаим],MATCH(B67&amp;C82,ПрофилиАрт[поиск],0))</f>
        <v>Фасад, Рамочный узкий профиль</v>
      </c>
      <c r="C82" s="21" t="str">
        <f>IF(A82=INDEX($P$3:$P$12, B66), "Да", "Нет")</f>
        <v>Нет</v>
      </c>
      <c r="D82" s="48" t="e">
        <f>INDEX(ПрофилиАрт[], MATCH(B82, ПрофилиАрт[полноенаим], 0), MATCH(B68, ПрофилиАрт[#Headers], 0))</f>
        <v>#N/A</v>
      </c>
      <c r="E82" s="293" t="e">
        <f>VLOOKUP(D82, Ред!$B:$F, 4, 0)</f>
        <v>#N/A</v>
      </c>
      <c r="F82" s="48">
        <f>B70+IF(C82="Да", 200, 100)</f>
        <v>100</v>
      </c>
      <c r="G82" s="293" t="e">
        <f>E82/5400*F82*B71</f>
        <v>#N/A</v>
      </c>
      <c r="H82" s="124"/>
      <c r="X82" s="164">
        <v>15</v>
      </c>
      <c r="Y82" s="164" t="e">
        <f>INDEX(Ред!$A:$A,MATCH(Z82,Ред!B:B,0))</f>
        <v>#N/A</v>
      </c>
      <c r="Z82" s="164">
        <f>B88</f>
        <v>0</v>
      </c>
      <c r="AA82" s="309">
        <f>D88</f>
        <v>0</v>
      </c>
      <c r="AB82" s="164"/>
      <c r="AC82" s="164"/>
      <c r="AD82" s="310">
        <f>B71</f>
        <v>0</v>
      </c>
      <c r="AE82" s="164" t="s">
        <v>241</v>
      </c>
    </row>
    <row r="83" spans="1:31" ht="15" hidden="1" customHeight="1" outlineLevel="1" x14ac:dyDescent="0.3">
      <c r="A83" s="292" t="s">
        <v>230</v>
      </c>
      <c r="B83" s="49" t="str">
        <f>INDEX(ПрофилиАрт[полноенаим],MATCH(B67&amp;C83,ПрофилиАрт[поиск],0))</f>
        <v>Фасад, Рамочный узкий профиль</v>
      </c>
      <c r="C83" s="21" t="str">
        <f>IF(A83=INDEX($P$3:$P$12, B66), "Да", "Нет")</f>
        <v>Нет</v>
      </c>
      <c r="D83" s="48" t="e">
        <f>INDEX(ПрофилиАрт[], MATCH(B83, ПрофилиАрт[полноенаим], 0), MATCH(B68, ПрофилиАрт[#Headers], 0))</f>
        <v>#N/A</v>
      </c>
      <c r="E83" s="293" t="e">
        <f>VLOOKUP(D83, Ред!$B:$F, 4, 0)</f>
        <v>#N/A</v>
      </c>
      <c r="F83" s="48">
        <f>B69+IF(C83="Да", 200, 100)</f>
        <v>100</v>
      </c>
      <c r="G83" s="293" t="e">
        <f>E83/5400*F83*B71</f>
        <v>#N/A</v>
      </c>
      <c r="H83" s="124"/>
    </row>
    <row r="84" spans="1:31" ht="15" hidden="1" customHeight="1" outlineLevel="1" x14ac:dyDescent="0.3">
      <c r="A84" s="292" t="s">
        <v>211</v>
      </c>
      <c r="B84" s="49" t="str">
        <f>INDEX(ПрофилиАрт[полноенаим],MATCH(B67&amp;C84,ПрофилиАрт[поиск],0))</f>
        <v>Фасад, Рамочный узкий профиль</v>
      </c>
      <c r="C84" s="21" t="str">
        <f>IF(A84=INDEX($P$3:$P$12, B66), "Да", "Нет")</f>
        <v>Нет</v>
      </c>
      <c r="D84" s="48" t="e">
        <f>INDEX(ПрофилиАрт[], MATCH(B84, ПрофилиАрт[полноенаим], 0), MATCH(B68, ПрофилиАрт[#Headers], 0))</f>
        <v>#N/A</v>
      </c>
      <c r="E84" s="293" t="e">
        <f>VLOOKUP(D84, Ред!$B:$F, 4, 0)</f>
        <v>#N/A</v>
      </c>
      <c r="F84" s="48">
        <f>B70+IF(C84="Да", 200, 100)</f>
        <v>100</v>
      </c>
      <c r="G84" s="293" t="e">
        <f>E84/5400*F84*B71</f>
        <v>#N/A</v>
      </c>
      <c r="H84" s="124"/>
    </row>
    <row r="85" spans="1:31" ht="15" hidden="1" customHeight="1" outlineLevel="1" x14ac:dyDescent="0.3">
      <c r="H85" s="124"/>
    </row>
    <row r="86" spans="1:31" ht="15" hidden="1" customHeight="1" outlineLevel="1" thickBot="1" x14ac:dyDescent="0.35">
      <c r="A86" s="297" t="s">
        <v>241</v>
      </c>
      <c r="B86" s="298" t="s">
        <v>389</v>
      </c>
      <c r="C86" s="299">
        <f>INDEX($Q$3:$Q$12, B66)</f>
        <v>0</v>
      </c>
      <c r="H86" s="124"/>
    </row>
    <row r="87" spans="1:31" ht="15" hidden="1" customHeight="1" outlineLevel="1" x14ac:dyDescent="0.3">
      <c r="B87" s="296" t="s">
        <v>390</v>
      </c>
      <c r="C87" s="19" t="s">
        <v>6</v>
      </c>
      <c r="D87" s="48" t="s">
        <v>379</v>
      </c>
      <c r="E87" s="48" t="s">
        <v>270</v>
      </c>
      <c r="F87" s="124"/>
      <c r="G87" s="124"/>
      <c r="H87" s="124"/>
    </row>
    <row r="88" spans="1:31" ht="15" hidden="1" customHeight="1" outlineLevel="1" x14ac:dyDescent="0.3">
      <c r="A88" s="294" t="s">
        <v>382</v>
      </c>
      <c r="B88" s="295">
        <f>IFERROR(INDEX(Фурнитура[Петли], MATCH(C86,Фурнитура[Цвет петель], 0)),0)</f>
        <v>0</v>
      </c>
      <c r="C88" s="293">
        <f>IFERROR(VLOOKUP(B88, Ред!$B:$F, 4, 0),0)</f>
        <v>0</v>
      </c>
      <c r="D88" s="50">
        <f>IF(INDEX($U$3:$U$12, B66)=0, 0, B71)</f>
        <v>0</v>
      </c>
      <c r="E88" s="48">
        <f>C88*D88</f>
        <v>0</v>
      </c>
      <c r="F88" s="124"/>
      <c r="G88" s="124"/>
      <c r="H88" s="124"/>
    </row>
    <row r="89" spans="1:31" ht="15" hidden="1" customHeight="1" outlineLevel="1" x14ac:dyDescent="0.3">
      <c r="A89" s="294" t="s">
        <v>383</v>
      </c>
      <c r="B89" s="295">
        <f>IFERROR(INDEX(Фурнитура[Уголок], MATCH(C86,Фурнитура[Цвет петель], 0)),0)</f>
        <v>0</v>
      </c>
      <c r="C89" s="293">
        <f>IFERROR(IF(B89="Нет", 0, VLOOKUP(B89, Ред!$B:$F, 4, 0)),0)</f>
        <v>0</v>
      </c>
      <c r="D89" s="50">
        <f>B71</f>
        <v>0</v>
      </c>
      <c r="E89" s="48">
        <f t="shared" ref="E89:E90" si="3">C89*D89</f>
        <v>0</v>
      </c>
      <c r="H89" s="124"/>
    </row>
    <row r="90" spans="1:31" ht="15" hidden="1" customHeight="1" outlineLevel="1" x14ac:dyDescent="0.3">
      <c r="A90" s="294" t="s">
        <v>384</v>
      </c>
      <c r="B90" s="295">
        <f>IFERROR(INDEX(Фурнитура[Уплотнитель], MATCH(C86,Фурнитура[Цвет петель], 0)),0)</f>
        <v>0</v>
      </c>
      <c r="C90" s="293">
        <f>IFERROR(VLOOKUP(B90, Ред!$B:$F, 4, 0),0)</f>
        <v>0</v>
      </c>
      <c r="D90" s="48" t="e">
        <f>IF(B68="BM",(((B69+B70)*2*B71/1000)/1)*1.1,(((B69+B70)*2*B71/1000)/1)*1.1)</f>
        <v>#N/A</v>
      </c>
      <c r="E90" s="48" t="e">
        <f t="shared" si="3"/>
        <v>#N/A</v>
      </c>
      <c r="H90" s="124"/>
    </row>
    <row r="91" spans="1:31" ht="15" hidden="1" customHeight="1" outlineLevel="1" x14ac:dyDescent="0.3">
      <c r="A91" s="70" t="s">
        <v>97</v>
      </c>
      <c r="B91" s="300"/>
      <c r="C91" s="71"/>
      <c r="D91" s="301"/>
      <c r="E91" s="71">
        <v>413</v>
      </c>
      <c r="F91" s="124"/>
      <c r="G91" s="124"/>
      <c r="H91" s="124"/>
    </row>
    <row r="92" spans="1:31" ht="15" hidden="1" customHeight="1" outlineLevel="1" x14ac:dyDescent="0.3">
      <c r="A92" s="70" t="s">
        <v>98</v>
      </c>
      <c r="B92" s="71"/>
      <c r="C92" s="71"/>
      <c r="D92" s="71"/>
      <c r="E92" s="71">
        <v>413</v>
      </c>
      <c r="H92" s="124"/>
    </row>
    <row r="93" spans="1:31" ht="15" hidden="1" customHeight="1" outlineLevel="1" x14ac:dyDescent="0.3"/>
    <row r="94" spans="1:31" ht="15" hidden="1" customHeight="1" outlineLevel="1" thickBot="1" x14ac:dyDescent="0.35">
      <c r="A94" s="302" t="s">
        <v>395</v>
      </c>
      <c r="B94" s="285" t="e">
        <f>SUM(B78:B79, G81:G84, E88:E92)</f>
        <v>#N/A</v>
      </c>
      <c r="C94" s="5"/>
      <c r="F94" s="278"/>
    </row>
    <row r="95" spans="1:31" ht="15" hidden="1" customHeight="1" outlineLevel="1" thickTop="1" x14ac:dyDescent="0.3">
      <c r="A95" s="145"/>
      <c r="B95" s="134"/>
      <c r="D95" s="124"/>
      <c r="E95" s="124"/>
      <c r="F95" s="124"/>
      <c r="G95" s="124"/>
      <c r="H95" s="124"/>
    </row>
    <row r="96" spans="1:31" ht="15.6" hidden="1" outlineLevel="1" x14ac:dyDescent="0.3">
      <c r="A96" s="145"/>
      <c r="B96" s="134"/>
      <c r="C96" s="5"/>
    </row>
    <row r="97" spans="1:31" ht="16.2" hidden="1" outlineLevel="1" thickBot="1" x14ac:dyDescent="0.35">
      <c r="A97" s="145"/>
      <c r="B97" s="134"/>
      <c r="C97" s="5"/>
      <c r="X97" s="661" t="s">
        <v>259</v>
      </c>
      <c r="Y97" s="661"/>
      <c r="Z97" s="661"/>
      <c r="AA97" s="661"/>
      <c r="AB97" s="661"/>
      <c r="AC97" s="661"/>
      <c r="AD97" s="661"/>
      <c r="AE97" s="661"/>
    </row>
    <row r="98" spans="1:31" ht="15" customHeight="1" collapsed="1" thickTop="1" thickBot="1" x14ac:dyDescent="0.45">
      <c r="A98" s="286" t="s">
        <v>396</v>
      </c>
      <c r="B98" s="287">
        <v>4</v>
      </c>
      <c r="X98" s="147" t="s">
        <v>115</v>
      </c>
      <c r="Y98" s="147" t="s">
        <v>232</v>
      </c>
      <c r="Z98" s="147" t="s">
        <v>233</v>
      </c>
      <c r="AA98" s="163" t="s">
        <v>149</v>
      </c>
      <c r="AB98" s="147" t="s">
        <v>234</v>
      </c>
      <c r="AC98" s="147" t="s">
        <v>235</v>
      </c>
      <c r="AD98" s="148" t="s">
        <v>236</v>
      </c>
      <c r="AE98" s="147" t="s">
        <v>237</v>
      </c>
    </row>
    <row r="99" spans="1:31" ht="15" hidden="1" customHeight="1" outlineLevel="1" thickTop="1" x14ac:dyDescent="0.3">
      <c r="A99" s="134" t="s">
        <v>358</v>
      </c>
      <c r="B99" s="279" t="s">
        <v>365</v>
      </c>
      <c r="C99" s="5"/>
      <c r="X99" s="161"/>
      <c r="Y99" s="191" t="s">
        <v>15</v>
      </c>
      <c r="Z99" s="191" t="s">
        <v>5</v>
      </c>
      <c r="AA99" s="191" t="s">
        <v>238</v>
      </c>
      <c r="AB99" s="191" t="s">
        <v>239</v>
      </c>
      <c r="AC99" s="195" t="s">
        <v>16</v>
      </c>
      <c r="AD99" s="196" t="s">
        <v>8</v>
      </c>
      <c r="AE99" s="191"/>
    </row>
    <row r="100" spans="1:31" ht="15" hidden="1" customHeight="1" outlineLevel="1" x14ac:dyDescent="0.3">
      <c r="A100" s="5" t="s">
        <v>376</v>
      </c>
      <c r="B100" s="279" t="e">
        <f>INDEX($L$3:$L$12, B98)</f>
        <v>#N/A</v>
      </c>
      <c r="C100" s="5"/>
      <c r="X100" s="162">
        <v>1</v>
      </c>
      <c r="Y100" s="162" t="str">
        <f>B113</f>
        <v>Фасад, Рамочный узкий профиль</v>
      </c>
      <c r="Z100" s="166" t="e">
        <f>D113</f>
        <v>#N/A</v>
      </c>
      <c r="AA100" s="192">
        <f>ROUNDUP(F113/5400*1.1*AD100, 2)</f>
        <v>0</v>
      </c>
      <c r="AB100" s="194"/>
      <c r="AC100" s="162" t="str">
        <f>B101&amp;"мм-"&amp;B103&amp;"шт"</f>
        <v>0мм-0шт</v>
      </c>
      <c r="AD100" s="310">
        <f>B103</f>
        <v>0</v>
      </c>
      <c r="AE100" s="197" t="s">
        <v>240</v>
      </c>
    </row>
    <row r="101" spans="1:31" ht="15" hidden="1" customHeight="1" outlineLevel="1" x14ac:dyDescent="0.3">
      <c r="A101" s="5" t="s">
        <v>4</v>
      </c>
      <c r="B101" s="279">
        <f>INDEX($R$3:$R$12, B98)</f>
        <v>0</v>
      </c>
      <c r="C101" s="5"/>
      <c r="X101" s="162">
        <v>2</v>
      </c>
      <c r="Y101" s="162" t="str">
        <f>B114</f>
        <v>Фасад, Рамочный узкий профиль</v>
      </c>
      <c r="Z101" s="166" t="e">
        <f>D114</f>
        <v>#N/A</v>
      </c>
      <c r="AA101" s="192">
        <f>ROUNDUP(F114/5400*1.1*AD101, 2)</f>
        <v>0</v>
      </c>
      <c r="AB101" s="162"/>
      <c r="AC101" s="162" t="str">
        <f>B102&amp;"мм-"&amp;B103&amp;"шт"</f>
        <v>0мм-0шт</v>
      </c>
      <c r="AD101" s="310">
        <f>B103</f>
        <v>0</v>
      </c>
      <c r="AE101" s="197" t="s">
        <v>240</v>
      </c>
    </row>
    <row r="102" spans="1:31" ht="15" hidden="1" customHeight="1" outlineLevel="1" x14ac:dyDescent="0.3">
      <c r="A102" s="5" t="s">
        <v>1</v>
      </c>
      <c r="B102" s="279">
        <f>INDEX($S$3:$S$12, B98)</f>
        <v>0</v>
      </c>
      <c r="D102" s="134"/>
      <c r="E102" s="124"/>
      <c r="F102" s="124"/>
      <c r="G102" s="124"/>
      <c r="X102" s="162">
        <v>3</v>
      </c>
      <c r="Y102" s="164" t="str">
        <f>B115</f>
        <v>Фасад, Рамочный узкий профиль</v>
      </c>
      <c r="Z102" s="193" t="e">
        <f>D115</f>
        <v>#N/A</v>
      </c>
      <c r="AA102" s="192">
        <f>ROUNDUP(F115/5400*1.1*AD102, 2)</f>
        <v>0</v>
      </c>
      <c r="AB102" s="164"/>
      <c r="AC102" s="162" t="str">
        <f>B101&amp;"мм-"&amp;B103&amp;"шт"</f>
        <v>0мм-0шт</v>
      </c>
      <c r="AD102" s="310">
        <f>B103</f>
        <v>0</v>
      </c>
      <c r="AE102" s="197" t="s">
        <v>240</v>
      </c>
    </row>
    <row r="103" spans="1:31" ht="15" hidden="1" customHeight="1" outlineLevel="1" x14ac:dyDescent="0.3">
      <c r="A103" s="39" t="s">
        <v>72</v>
      </c>
      <c r="B103" s="280">
        <f>INDEX($T$3:$T$12, B98)</f>
        <v>0</v>
      </c>
      <c r="C103" s="40"/>
      <c r="D103" s="40"/>
      <c r="E103" s="40"/>
      <c r="F103" s="271"/>
      <c r="G103" s="271"/>
      <c r="X103" s="162">
        <v>4</v>
      </c>
      <c r="Y103" s="164" t="str">
        <f>B116</f>
        <v>Фасад, Рамочный узкий профиль</v>
      </c>
      <c r="Z103" s="193" t="e">
        <f>D116</f>
        <v>#N/A</v>
      </c>
      <c r="AA103" s="192">
        <f>ROUNDUP(F116/5400*1.1*AD103, 2)</f>
        <v>0</v>
      </c>
      <c r="AB103" s="194"/>
      <c r="AC103" s="162" t="str">
        <f>B102&amp;"мм-"&amp;B103&amp;"шт"</f>
        <v>0мм-0шт</v>
      </c>
      <c r="AD103" s="310">
        <f>B103</f>
        <v>0</v>
      </c>
      <c r="AE103" s="197" t="s">
        <v>240</v>
      </c>
    </row>
    <row r="104" spans="1:31" ht="15" hidden="1" customHeight="1" outlineLevel="1" x14ac:dyDescent="0.3">
      <c r="A104" s="39" t="s">
        <v>360</v>
      </c>
      <c r="B104" s="269">
        <f>INDEX($M$3:$M$12, B98)</f>
        <v>0</v>
      </c>
      <c r="F104" s="124"/>
      <c r="G104" s="124"/>
      <c r="X104" s="162">
        <v>5</v>
      </c>
      <c r="Y104" s="164">
        <f>B104</f>
        <v>0</v>
      </c>
      <c r="Z104" s="164" t="str">
        <f>B105</f>
        <v>.</v>
      </c>
      <c r="AA104" s="309">
        <f>B103</f>
        <v>0</v>
      </c>
      <c r="AB104" s="164" t="str">
        <f>CONCATENATE("В ",B107,", ","Ш ",B108)</f>
        <v>В -6, Ш -6</v>
      </c>
      <c r="AC104" s="164"/>
      <c r="AD104" s="310">
        <f>B103</f>
        <v>0</v>
      </c>
      <c r="AE104" s="197" t="s">
        <v>278</v>
      </c>
    </row>
    <row r="105" spans="1:31" ht="15" hidden="1" customHeight="1" outlineLevel="1" x14ac:dyDescent="0.3">
      <c r="A105" s="39" t="s">
        <v>381</v>
      </c>
      <c r="B105" s="269" t="str">
        <f>IFERROR(INDEX($N$3:$N$12, B98),0)</f>
        <v>.</v>
      </c>
      <c r="F105" s="124"/>
      <c r="G105" s="124"/>
      <c r="X105" s="162">
        <v>6</v>
      </c>
      <c r="Y105" s="164" t="s">
        <v>242</v>
      </c>
      <c r="Z105" s="167" t="s">
        <v>243</v>
      </c>
      <c r="AA105" s="164">
        <f>IF(B101&gt;550,2*AD105,1*AD105)</f>
        <v>0</v>
      </c>
      <c r="AB105" s="164"/>
      <c r="AC105" s="164"/>
      <c r="AD105" s="310">
        <f>B103</f>
        <v>0</v>
      </c>
      <c r="AE105" s="197" t="s">
        <v>240</v>
      </c>
    </row>
    <row r="106" spans="1:31" ht="15" hidden="1" customHeight="1" outlineLevel="1" x14ac:dyDescent="0.3">
      <c r="A106" s="39" t="s">
        <v>398</v>
      </c>
      <c r="B106" s="281">
        <f>IFERROR(IF(B105=".", 0, VLOOKUP(B105, Ред!$B:$F, 4, 0)),0)</f>
        <v>0</v>
      </c>
      <c r="F106" s="124"/>
      <c r="G106" s="124"/>
      <c r="H106" s="124"/>
      <c r="X106" s="162">
        <v>7</v>
      </c>
      <c r="Y106" s="164" t="s">
        <v>244</v>
      </c>
      <c r="Z106" s="167" t="s">
        <v>245</v>
      </c>
      <c r="AA106" s="164">
        <f>(B101+B102)*2/1000*AD106</f>
        <v>0</v>
      </c>
      <c r="AB106" s="164"/>
      <c r="AC106" s="164"/>
      <c r="AD106" s="310">
        <f>B103</f>
        <v>0</v>
      </c>
      <c r="AE106" s="197" t="s">
        <v>240</v>
      </c>
    </row>
    <row r="107" spans="1:31" s="40" customFormat="1" ht="15" hidden="1" customHeight="1" outlineLevel="1" x14ac:dyDescent="0.3">
      <c r="A107" s="39" t="s">
        <v>399</v>
      </c>
      <c r="B107" s="282">
        <f>B101-6</f>
        <v>-6</v>
      </c>
      <c r="C107" s="39"/>
      <c r="D107" s="39"/>
      <c r="E107" s="39"/>
      <c r="F107" s="124"/>
      <c r="G107" s="124"/>
      <c r="X107" s="162">
        <v>8</v>
      </c>
      <c r="Y107" s="165" t="s">
        <v>246</v>
      </c>
      <c r="Z107" s="167" t="s">
        <v>247</v>
      </c>
      <c r="AA107" s="164">
        <f>0.02*AD107</f>
        <v>0</v>
      </c>
      <c r="AB107" s="164"/>
      <c r="AC107" s="164"/>
      <c r="AD107" s="310">
        <f>B103</f>
        <v>0</v>
      </c>
      <c r="AE107" s="197" t="s">
        <v>240</v>
      </c>
    </row>
    <row r="108" spans="1:31" ht="15" hidden="1" customHeight="1" outlineLevel="1" x14ac:dyDescent="0.3">
      <c r="A108" s="39" t="s">
        <v>400</v>
      </c>
      <c r="B108" s="282">
        <f>B102-6</f>
        <v>-6</v>
      </c>
      <c r="C108" s="5"/>
      <c r="D108" s="124"/>
      <c r="E108" s="124"/>
      <c r="F108" s="124"/>
      <c r="G108" s="124"/>
      <c r="H108" s="124"/>
      <c r="X108" s="162">
        <v>9</v>
      </c>
      <c r="Y108" s="164" t="s">
        <v>475</v>
      </c>
      <c r="Z108" s="167" t="s">
        <v>474</v>
      </c>
      <c r="AA108" s="193">
        <f>(((B102*2)/1000)+0.5)/66*B103</f>
        <v>0</v>
      </c>
      <c r="AB108" s="164"/>
      <c r="AC108" s="164"/>
      <c r="AD108" s="310">
        <f>B103</f>
        <v>0</v>
      </c>
      <c r="AE108" s="197" t="s">
        <v>240</v>
      </c>
    </row>
    <row r="109" spans="1:31" ht="15" hidden="1" customHeight="1" outlineLevel="1" x14ac:dyDescent="0.3">
      <c r="A109" s="39" t="s">
        <v>401</v>
      </c>
      <c r="B109" s="283">
        <f>B107*B108/1000000</f>
        <v>3.6000000000000001E-5</v>
      </c>
      <c r="C109" s="5"/>
      <c r="D109" s="124"/>
      <c r="E109" s="124"/>
      <c r="F109" s="124"/>
      <c r="G109" s="124"/>
      <c r="H109" s="124"/>
      <c r="X109" s="162">
        <v>10</v>
      </c>
      <c r="Y109" s="164" t="s">
        <v>248</v>
      </c>
      <c r="Z109" s="167" t="s">
        <v>249</v>
      </c>
      <c r="AA109" s="193">
        <f>((B102*8/1000)+0.5)/45*B103</f>
        <v>0</v>
      </c>
      <c r="AB109" s="164"/>
      <c r="AC109" s="164"/>
      <c r="AD109" s="310">
        <f>B103</f>
        <v>0</v>
      </c>
      <c r="AE109" s="197" t="s">
        <v>240</v>
      </c>
    </row>
    <row r="110" spans="1:31" ht="15" hidden="1" customHeight="1" outlineLevel="1" x14ac:dyDescent="0.3">
      <c r="A110" s="145" t="s">
        <v>402</v>
      </c>
      <c r="B110" s="284">
        <f>B106*B109*B103</f>
        <v>0</v>
      </c>
      <c r="H110" s="124"/>
      <c r="X110" s="188">
        <v>11</v>
      </c>
      <c r="Y110" s="189" t="s">
        <v>250</v>
      </c>
      <c r="Z110" s="190" t="s">
        <v>251</v>
      </c>
      <c r="AA110" s="189">
        <f>((B102*4/1000)+1)</f>
        <v>1</v>
      </c>
      <c r="AB110" s="189"/>
      <c r="AC110" s="189"/>
      <c r="AD110" s="311">
        <f>B103</f>
        <v>0</v>
      </c>
      <c r="AE110" s="197" t="s">
        <v>240</v>
      </c>
    </row>
    <row r="111" spans="1:31" ht="15" hidden="1" customHeight="1" outlineLevel="1" x14ac:dyDescent="0.3">
      <c r="A111" s="39" t="s">
        <v>576</v>
      </c>
      <c r="B111" s="356">
        <f>IFERROR(IF(D111,(B107+B108)/1000*2*F111*B103,0),0)</f>
        <v>0</v>
      </c>
      <c r="C111" s="39" t="s">
        <v>574</v>
      </c>
      <c r="D111" s="39">
        <f>IFERROR(INDEX(Вставки[Обработка],MATCH(B105,Вставки[арт],0)) = 1,0)</f>
        <v>0</v>
      </c>
      <c r="E111" s="39" t="s">
        <v>6</v>
      </c>
      <c r="F111" s="250">
        <f>Ред!$E$91</f>
        <v>198.79999999999998</v>
      </c>
      <c r="H111" s="124"/>
      <c r="X111" s="189">
        <v>12</v>
      </c>
      <c r="Y111" s="189" t="s">
        <v>279</v>
      </c>
      <c r="Z111" s="167" t="s">
        <v>280</v>
      </c>
      <c r="AA111" s="189">
        <v>1</v>
      </c>
      <c r="AB111" s="164"/>
      <c r="AC111" s="189"/>
      <c r="AD111" s="310">
        <v>1</v>
      </c>
      <c r="AE111" s="256" t="s">
        <v>240</v>
      </c>
    </row>
    <row r="112" spans="1:31" ht="15" hidden="1" customHeight="1" outlineLevel="1" x14ac:dyDescent="0.3">
      <c r="A112" s="5"/>
      <c r="B112" s="288" t="s">
        <v>15</v>
      </c>
      <c r="C112" s="289" t="s">
        <v>371</v>
      </c>
      <c r="D112" s="290" t="s">
        <v>5</v>
      </c>
      <c r="E112" s="290" t="s">
        <v>3</v>
      </c>
      <c r="F112" s="291" t="s">
        <v>380</v>
      </c>
      <c r="G112" s="291" t="s">
        <v>7</v>
      </c>
      <c r="H112" s="124"/>
      <c r="X112" s="162">
        <v>13</v>
      </c>
      <c r="Y112" s="49" t="e">
        <f>INDEX(Ред!$A:$A,MATCH(Z112,Ред!B:B,0))</f>
        <v>#N/A</v>
      </c>
      <c r="Z112" s="167">
        <f>B121</f>
        <v>0</v>
      </c>
      <c r="AA112" s="50">
        <f>D121</f>
        <v>0</v>
      </c>
      <c r="AB112" s="164"/>
      <c r="AC112" s="164"/>
      <c r="AD112" s="310">
        <f>AA112</f>
        <v>0</v>
      </c>
      <c r="AE112" s="164" t="s">
        <v>241</v>
      </c>
    </row>
    <row r="113" spans="1:31" ht="15" hidden="1" customHeight="1" outlineLevel="1" x14ac:dyDescent="0.3">
      <c r="A113" s="292" t="s">
        <v>104</v>
      </c>
      <c r="B113" s="49" t="str">
        <f>INDEX(ПрофилиАрт[полноенаим],MATCH(B99&amp;C113,ПрофилиАрт[поиск],0))</f>
        <v>Фасад, Рамочный узкий профиль</v>
      </c>
      <c r="C113" s="21" t="str">
        <f>IF(A113=INDEX($P$3:$P$12, B98), "Да", "Нет")</f>
        <v>Нет</v>
      </c>
      <c r="D113" s="48" t="e">
        <f>INDEX(ПрофилиАрт[], MATCH(B113, ПрофилиАрт[полноенаим], 0), MATCH(B100, ПрофилиАрт[#Headers], 0))</f>
        <v>#N/A</v>
      </c>
      <c r="E113" s="293" t="e">
        <f>VLOOKUP(D113, Ред!$B:$F, 4, 0)</f>
        <v>#N/A</v>
      </c>
      <c r="F113" s="48">
        <f>B101+IF(C113="Да", 200, 100)</f>
        <v>100</v>
      </c>
      <c r="G113" s="293" t="e">
        <f>E113/5400*F113*B103</f>
        <v>#N/A</v>
      </c>
      <c r="H113" s="124"/>
      <c r="X113" s="164">
        <v>14</v>
      </c>
      <c r="Y113" s="164" t="e">
        <f>INDEX(Ред!$A:$A,MATCH(Z113,Ред!B:B,0))</f>
        <v>#N/A</v>
      </c>
      <c r="Z113" s="167">
        <f>B122</f>
        <v>0</v>
      </c>
      <c r="AA113" s="193" t="e">
        <f>ROUNDUP(D122/2.6,1)</f>
        <v>#N/A</v>
      </c>
      <c r="AB113" s="164"/>
      <c r="AC113" s="164"/>
      <c r="AD113" s="310">
        <f>B103</f>
        <v>0</v>
      </c>
      <c r="AE113" s="164" t="s">
        <v>240</v>
      </c>
    </row>
    <row r="114" spans="1:31" ht="15" hidden="1" customHeight="1" outlineLevel="1" x14ac:dyDescent="0.3">
      <c r="A114" s="292" t="s">
        <v>210</v>
      </c>
      <c r="B114" s="49" t="str">
        <f>INDEX(ПрофилиАрт[полноенаим],MATCH(B99&amp;C114,ПрофилиАрт[поиск],0))</f>
        <v>Фасад, Рамочный узкий профиль</v>
      </c>
      <c r="C114" s="21" t="str">
        <f>IF(A114=INDEX($P$3:$P$12, B98), "Да", "Нет")</f>
        <v>Нет</v>
      </c>
      <c r="D114" s="48" t="e">
        <f>INDEX(ПрофилиАрт[], MATCH(B114, ПрофилиАрт[полноенаим], 0), MATCH(B100, ПрофилиАрт[#Headers], 0))</f>
        <v>#N/A</v>
      </c>
      <c r="E114" s="293" t="e">
        <f>VLOOKUP(D114, Ред!$B:$F, 4, 0)</f>
        <v>#N/A</v>
      </c>
      <c r="F114" s="48">
        <f>B102+IF(C114="Да", 200, 100)</f>
        <v>100</v>
      </c>
      <c r="G114" s="293" t="e">
        <f>E114/5400*F114*B103</f>
        <v>#N/A</v>
      </c>
      <c r="H114" s="124"/>
      <c r="X114" s="164">
        <v>15</v>
      </c>
      <c r="Y114" s="164" t="e">
        <f>INDEX(Ред!$A:$A,MATCH(Z114,Ред!B:B,0))</f>
        <v>#N/A</v>
      </c>
      <c r="Z114" s="164">
        <f>B120</f>
        <v>0</v>
      </c>
      <c r="AA114" s="309">
        <f>D120</f>
        <v>0</v>
      </c>
      <c r="AB114" s="164"/>
      <c r="AC114" s="164"/>
      <c r="AD114" s="310">
        <f>B103</f>
        <v>0</v>
      </c>
      <c r="AE114" s="164" t="s">
        <v>241</v>
      </c>
    </row>
    <row r="115" spans="1:31" ht="15" hidden="1" customHeight="1" outlineLevel="1" x14ac:dyDescent="0.3">
      <c r="A115" s="292" t="s">
        <v>230</v>
      </c>
      <c r="B115" s="49" t="str">
        <f>INDEX(ПрофилиАрт[полноенаим],MATCH(B99&amp;C115,ПрофилиАрт[поиск],0))</f>
        <v>Фасад, Рамочный узкий профиль</v>
      </c>
      <c r="C115" s="21" t="str">
        <f>IF(A115=INDEX($P$3:$P$12, B98), "Да", "Нет")</f>
        <v>Нет</v>
      </c>
      <c r="D115" s="48" t="e">
        <f>INDEX(ПрофилиАрт[], MATCH(B115, ПрофилиАрт[полноенаим], 0), MATCH(B100, ПрофилиАрт[#Headers], 0))</f>
        <v>#N/A</v>
      </c>
      <c r="E115" s="293" t="e">
        <f>VLOOKUP(D115, Ред!$B:$F, 4, 0)</f>
        <v>#N/A</v>
      </c>
      <c r="F115" s="48">
        <f>B101+IF(C115="Да", 200, 100)</f>
        <v>100</v>
      </c>
      <c r="G115" s="293" t="e">
        <f>E115/5400*F115*B103</f>
        <v>#N/A</v>
      </c>
      <c r="H115" s="124"/>
    </row>
    <row r="116" spans="1:31" ht="15" hidden="1" customHeight="1" outlineLevel="1" x14ac:dyDescent="0.3">
      <c r="A116" s="292" t="s">
        <v>211</v>
      </c>
      <c r="B116" s="49" t="str">
        <f>INDEX(ПрофилиАрт[полноенаим],MATCH(B99&amp;C116,ПрофилиАрт[поиск],0))</f>
        <v>Фасад, Рамочный узкий профиль</v>
      </c>
      <c r="C116" s="21" t="str">
        <f>IF(A116=INDEX($P$3:$P$12, B98), "Да", "Нет")</f>
        <v>Нет</v>
      </c>
      <c r="D116" s="48" t="e">
        <f>INDEX(ПрофилиАрт[], MATCH(B116, ПрофилиАрт[полноенаим], 0), MATCH(B100, ПрофилиАрт[#Headers], 0))</f>
        <v>#N/A</v>
      </c>
      <c r="E116" s="293" t="e">
        <f>VLOOKUP(D116, Ред!$B:$F, 4, 0)</f>
        <v>#N/A</v>
      </c>
      <c r="F116" s="48">
        <f>B102+IF(C116="Да", 200, 100)</f>
        <v>100</v>
      </c>
      <c r="G116" s="293" t="e">
        <f>E116/5400*F116*B103</f>
        <v>#N/A</v>
      </c>
      <c r="H116" s="124"/>
    </row>
    <row r="117" spans="1:31" ht="15" hidden="1" customHeight="1" outlineLevel="1" x14ac:dyDescent="0.3">
      <c r="H117" s="124"/>
    </row>
    <row r="118" spans="1:31" ht="15" hidden="1" customHeight="1" outlineLevel="1" thickBot="1" x14ac:dyDescent="0.35">
      <c r="A118" s="297" t="s">
        <v>241</v>
      </c>
      <c r="B118" s="298" t="s">
        <v>389</v>
      </c>
      <c r="C118" s="299">
        <f>INDEX($Q$3:$Q$12, B98)</f>
        <v>0</v>
      </c>
      <c r="H118" s="124"/>
    </row>
    <row r="119" spans="1:31" ht="15" hidden="1" customHeight="1" outlineLevel="1" x14ac:dyDescent="0.3">
      <c r="B119" s="296" t="s">
        <v>390</v>
      </c>
      <c r="C119" s="19" t="s">
        <v>6</v>
      </c>
      <c r="D119" s="48" t="s">
        <v>379</v>
      </c>
      <c r="E119" s="48" t="s">
        <v>270</v>
      </c>
      <c r="F119" s="124"/>
      <c r="G119" s="124"/>
      <c r="H119" s="124"/>
    </row>
    <row r="120" spans="1:31" ht="15" hidden="1" customHeight="1" outlineLevel="1" x14ac:dyDescent="0.3">
      <c r="A120" s="294" t="s">
        <v>382</v>
      </c>
      <c r="B120" s="295">
        <f>IFERROR(INDEX(Фурнитура[Петли], MATCH(C118,Фурнитура[Цвет петель], 0)),0)</f>
        <v>0</v>
      </c>
      <c r="C120" s="293">
        <f>IFERROR(VLOOKUP(B120, Ред!$B:$F, 4, 0),0)</f>
        <v>0</v>
      </c>
      <c r="D120" s="50">
        <f>IF(INDEX($U$3:$U$12, B98)=0, 0, B103)</f>
        <v>0</v>
      </c>
      <c r="E120" s="48">
        <f>C120*D120</f>
        <v>0</v>
      </c>
      <c r="F120" s="124"/>
      <c r="G120" s="124"/>
      <c r="H120" s="124"/>
    </row>
    <row r="121" spans="1:31" ht="15" hidden="1" customHeight="1" outlineLevel="1" x14ac:dyDescent="0.3">
      <c r="A121" s="294" t="s">
        <v>383</v>
      </c>
      <c r="B121" s="295">
        <f>IFERROR(INDEX(Фурнитура[Уголок], MATCH(C118,Фурнитура[Цвет петель], 0)),0)</f>
        <v>0</v>
      </c>
      <c r="C121" s="293">
        <f>IFERROR(IF(B121="Нет", 0, VLOOKUP(B121, Ред!$B:$F, 4, 0)),0)</f>
        <v>0</v>
      </c>
      <c r="D121" s="50">
        <f>B103</f>
        <v>0</v>
      </c>
      <c r="E121" s="48">
        <f t="shared" ref="E121:E122" si="4">C121*D121</f>
        <v>0</v>
      </c>
      <c r="H121" s="124"/>
    </row>
    <row r="122" spans="1:31" ht="15" hidden="1" customHeight="1" outlineLevel="1" x14ac:dyDescent="0.3">
      <c r="A122" s="294" t="s">
        <v>384</v>
      </c>
      <c r="B122" s="295">
        <f>IFERROR(INDEX(Фурнитура[Уплотнитель], MATCH(C118,Фурнитура[Цвет петель], 0)),0)</f>
        <v>0</v>
      </c>
      <c r="C122" s="293">
        <f>IFERROR(VLOOKUP(B122, Ред!$B:$F, 4, 0),0)</f>
        <v>0</v>
      </c>
      <c r="D122" s="48" t="e">
        <f>IF(B100="BM",(((B101+B102)*2*B103/1000)/1)*1.1,(((B101+B102)*2*B103/1000)/1)*1.1)</f>
        <v>#N/A</v>
      </c>
      <c r="E122" s="48" t="e">
        <f t="shared" si="4"/>
        <v>#N/A</v>
      </c>
      <c r="H122" s="124"/>
    </row>
    <row r="123" spans="1:31" ht="15" hidden="1" customHeight="1" outlineLevel="1" x14ac:dyDescent="0.3">
      <c r="A123" s="70" t="s">
        <v>97</v>
      </c>
      <c r="B123" s="300"/>
      <c r="C123" s="71"/>
      <c r="D123" s="301"/>
      <c r="E123" s="71">
        <v>413</v>
      </c>
      <c r="F123" s="124"/>
      <c r="G123" s="124"/>
      <c r="H123" s="124"/>
    </row>
    <row r="124" spans="1:31" ht="15" hidden="1" customHeight="1" outlineLevel="1" x14ac:dyDescent="0.3">
      <c r="A124" s="70" t="s">
        <v>98</v>
      </c>
      <c r="B124" s="71"/>
      <c r="C124" s="71"/>
      <c r="D124" s="71"/>
      <c r="E124" s="71">
        <v>413</v>
      </c>
      <c r="H124" s="124"/>
    </row>
    <row r="125" spans="1:31" ht="15" hidden="1" customHeight="1" outlineLevel="1" x14ac:dyDescent="0.3"/>
    <row r="126" spans="1:31" ht="15" hidden="1" customHeight="1" outlineLevel="1" thickBot="1" x14ac:dyDescent="0.35">
      <c r="A126" s="302" t="s">
        <v>395</v>
      </c>
      <c r="B126" s="285" t="e">
        <f>SUM(B110:B111, G113:G116, E120:E124)</f>
        <v>#N/A</v>
      </c>
      <c r="C126" s="5"/>
      <c r="F126" s="278"/>
    </row>
    <row r="127" spans="1:31" ht="15" hidden="1" customHeight="1" outlineLevel="1" thickTop="1" x14ac:dyDescent="0.3">
      <c r="A127" s="145"/>
      <c r="B127" s="134"/>
      <c r="D127" s="124"/>
      <c r="E127" s="124"/>
      <c r="F127" s="124"/>
      <c r="G127" s="124"/>
      <c r="H127" s="124"/>
    </row>
    <row r="128" spans="1:31" ht="15.6" hidden="1" outlineLevel="1" x14ac:dyDescent="0.3">
      <c r="A128" s="145"/>
      <c r="B128" s="134"/>
      <c r="C128" s="5"/>
    </row>
    <row r="129" spans="1:31" ht="16.2" hidden="1" outlineLevel="1" thickBot="1" x14ac:dyDescent="0.35">
      <c r="A129" s="145"/>
      <c r="B129" s="134"/>
      <c r="C129" s="5"/>
      <c r="X129" s="661" t="s">
        <v>258</v>
      </c>
      <c r="Y129" s="661"/>
      <c r="Z129" s="661"/>
      <c r="AA129" s="661"/>
      <c r="AB129" s="661"/>
      <c r="AC129" s="661"/>
      <c r="AD129" s="661"/>
      <c r="AE129" s="661"/>
    </row>
    <row r="130" spans="1:31" ht="15" customHeight="1" collapsed="1" thickTop="1" thickBot="1" x14ac:dyDescent="0.45">
      <c r="A130" s="286" t="s">
        <v>396</v>
      </c>
      <c r="B130" s="287">
        <v>5</v>
      </c>
      <c r="X130" s="147" t="s">
        <v>115</v>
      </c>
      <c r="Y130" s="147" t="s">
        <v>232</v>
      </c>
      <c r="Z130" s="147" t="s">
        <v>233</v>
      </c>
      <c r="AA130" s="163" t="s">
        <v>149</v>
      </c>
      <c r="AB130" s="147" t="s">
        <v>234</v>
      </c>
      <c r="AC130" s="147" t="s">
        <v>235</v>
      </c>
      <c r="AD130" s="148" t="s">
        <v>236</v>
      </c>
      <c r="AE130" s="147" t="s">
        <v>237</v>
      </c>
    </row>
    <row r="131" spans="1:31" ht="15" hidden="1" customHeight="1" outlineLevel="1" thickTop="1" x14ac:dyDescent="0.3">
      <c r="A131" s="134" t="s">
        <v>358</v>
      </c>
      <c r="B131" s="279" t="s">
        <v>365</v>
      </c>
      <c r="C131" s="5"/>
      <c r="X131" s="161"/>
      <c r="Y131" s="191" t="s">
        <v>15</v>
      </c>
      <c r="Z131" s="191" t="s">
        <v>5</v>
      </c>
      <c r="AA131" s="191" t="s">
        <v>238</v>
      </c>
      <c r="AB131" s="191" t="s">
        <v>239</v>
      </c>
      <c r="AC131" s="195" t="s">
        <v>16</v>
      </c>
      <c r="AD131" s="196" t="s">
        <v>8</v>
      </c>
      <c r="AE131" s="191"/>
    </row>
    <row r="132" spans="1:31" ht="15" hidden="1" customHeight="1" outlineLevel="1" x14ac:dyDescent="0.3">
      <c r="A132" s="5" t="s">
        <v>376</v>
      </c>
      <c r="B132" s="279" t="e">
        <f>INDEX($L$3:$L$12, B130)</f>
        <v>#N/A</v>
      </c>
      <c r="C132" s="5"/>
      <c r="X132" s="162">
        <v>1</v>
      </c>
      <c r="Y132" s="162" t="str">
        <f>B145</f>
        <v>Фасад, Рамочный узкий профиль</v>
      </c>
      <c r="Z132" s="166" t="e">
        <f>D145</f>
        <v>#N/A</v>
      </c>
      <c r="AA132" s="192">
        <f>ROUNDUP(F145/5400*1.1*AD132, 2)</f>
        <v>0</v>
      </c>
      <c r="AB132" s="194"/>
      <c r="AC132" s="162" t="str">
        <f>B133&amp;"мм-"&amp;B135&amp;"шт"</f>
        <v>0мм-0шт</v>
      </c>
      <c r="AD132" s="310">
        <f>B135</f>
        <v>0</v>
      </c>
      <c r="AE132" s="197" t="s">
        <v>240</v>
      </c>
    </row>
    <row r="133" spans="1:31" ht="15" hidden="1" customHeight="1" outlineLevel="1" x14ac:dyDescent="0.3">
      <c r="A133" s="5" t="s">
        <v>4</v>
      </c>
      <c r="B133" s="279">
        <f>INDEX($R$3:$R$12, B130)</f>
        <v>0</v>
      </c>
      <c r="C133" s="5"/>
      <c r="X133" s="162">
        <v>2</v>
      </c>
      <c r="Y133" s="162" t="str">
        <f>B146</f>
        <v>Фасад, Рамочный узкий профиль</v>
      </c>
      <c r="Z133" s="166" t="e">
        <f>D146</f>
        <v>#N/A</v>
      </c>
      <c r="AA133" s="192">
        <f>ROUNDUP(F146/5400*1.1*AD133, 2)</f>
        <v>0</v>
      </c>
      <c r="AB133" s="162"/>
      <c r="AC133" s="162" t="str">
        <f>B134&amp;"мм-"&amp;B135&amp;"шт"</f>
        <v>0мм-0шт</v>
      </c>
      <c r="AD133" s="310">
        <f>B135</f>
        <v>0</v>
      </c>
      <c r="AE133" s="197" t="s">
        <v>240</v>
      </c>
    </row>
    <row r="134" spans="1:31" ht="15" hidden="1" customHeight="1" outlineLevel="1" x14ac:dyDescent="0.3">
      <c r="A134" s="5" t="s">
        <v>1</v>
      </c>
      <c r="B134" s="279">
        <f>INDEX($S$3:$S$12, B130)</f>
        <v>0</v>
      </c>
      <c r="D134" s="134"/>
      <c r="E134" s="124"/>
      <c r="F134" s="124"/>
      <c r="G134" s="124"/>
      <c r="X134" s="162">
        <v>3</v>
      </c>
      <c r="Y134" s="164" t="str">
        <f>B147</f>
        <v>Фасад, Рамочный узкий профиль</v>
      </c>
      <c r="Z134" s="193" t="e">
        <f>D147</f>
        <v>#N/A</v>
      </c>
      <c r="AA134" s="192">
        <f>ROUNDUP(F147/5400*1.1*AD134, 2)</f>
        <v>0</v>
      </c>
      <c r="AB134" s="164"/>
      <c r="AC134" s="162" t="str">
        <f>B133&amp;"мм-"&amp;B135&amp;"шт"</f>
        <v>0мм-0шт</v>
      </c>
      <c r="AD134" s="310">
        <f>B135</f>
        <v>0</v>
      </c>
      <c r="AE134" s="197" t="s">
        <v>240</v>
      </c>
    </row>
    <row r="135" spans="1:31" ht="15" hidden="1" customHeight="1" outlineLevel="1" x14ac:dyDescent="0.3">
      <c r="A135" s="39" t="s">
        <v>72</v>
      </c>
      <c r="B135" s="280">
        <f>INDEX($T$3:$T$12, B130)</f>
        <v>0</v>
      </c>
      <c r="C135" s="40"/>
      <c r="D135" s="40"/>
      <c r="E135" s="40"/>
      <c r="F135" s="271"/>
      <c r="G135" s="271"/>
      <c r="X135" s="162">
        <v>4</v>
      </c>
      <c r="Y135" s="164" t="str">
        <f>B148</f>
        <v>Фасад, Рамочный узкий профиль</v>
      </c>
      <c r="Z135" s="193" t="e">
        <f>D148</f>
        <v>#N/A</v>
      </c>
      <c r="AA135" s="192">
        <f>ROUNDUP(F148/5400*1.1*AD135, 2)</f>
        <v>0</v>
      </c>
      <c r="AB135" s="194"/>
      <c r="AC135" s="162" t="str">
        <f>B134&amp;"мм-"&amp;B135&amp;"шт"</f>
        <v>0мм-0шт</v>
      </c>
      <c r="AD135" s="310">
        <f>B135</f>
        <v>0</v>
      </c>
      <c r="AE135" s="197" t="s">
        <v>240</v>
      </c>
    </row>
    <row r="136" spans="1:31" ht="15" hidden="1" customHeight="1" outlineLevel="1" x14ac:dyDescent="0.3">
      <c r="A136" s="39" t="s">
        <v>360</v>
      </c>
      <c r="B136" s="269">
        <f>INDEX($M$3:$M$12, B130)</f>
        <v>0</v>
      </c>
      <c r="F136" s="124"/>
      <c r="G136" s="124"/>
      <c r="X136" s="162">
        <v>5</v>
      </c>
      <c r="Y136" s="164">
        <f>B136</f>
        <v>0</v>
      </c>
      <c r="Z136" s="164" t="str">
        <f>B137</f>
        <v>.</v>
      </c>
      <c r="AA136" s="309">
        <f>B135</f>
        <v>0</v>
      </c>
      <c r="AB136" s="164" t="str">
        <f>CONCATENATE("В ",B139,", ","Ш ",B140)</f>
        <v>В -6, Ш -6</v>
      </c>
      <c r="AC136" s="164"/>
      <c r="AD136" s="310">
        <f>B135</f>
        <v>0</v>
      </c>
      <c r="AE136" s="197" t="s">
        <v>278</v>
      </c>
    </row>
    <row r="137" spans="1:31" ht="15" hidden="1" customHeight="1" outlineLevel="1" x14ac:dyDescent="0.3">
      <c r="A137" s="39" t="s">
        <v>381</v>
      </c>
      <c r="B137" s="269" t="str">
        <f>IFERROR(INDEX($N$3:$N$12, B130),0)</f>
        <v>.</v>
      </c>
      <c r="F137" s="124"/>
      <c r="G137" s="124"/>
      <c r="X137" s="162">
        <v>6</v>
      </c>
      <c r="Y137" s="164" t="s">
        <v>242</v>
      </c>
      <c r="Z137" s="167" t="s">
        <v>243</v>
      </c>
      <c r="AA137" s="164">
        <f>IF(B133&gt;550,2*AD137,1*AD137)</f>
        <v>0</v>
      </c>
      <c r="AB137" s="164"/>
      <c r="AC137" s="164"/>
      <c r="AD137" s="310">
        <f>B135</f>
        <v>0</v>
      </c>
      <c r="AE137" s="197" t="s">
        <v>240</v>
      </c>
    </row>
    <row r="138" spans="1:31" ht="15" hidden="1" customHeight="1" outlineLevel="1" x14ac:dyDescent="0.3">
      <c r="A138" s="39" t="s">
        <v>398</v>
      </c>
      <c r="B138" s="281">
        <f>IFERROR(IF(B137=".", 0, VLOOKUP(B137, Ред!$B:$F, 4, 0)),0)</f>
        <v>0</v>
      </c>
      <c r="F138" s="124"/>
      <c r="G138" s="124"/>
      <c r="H138" s="124"/>
      <c r="X138" s="162">
        <v>7</v>
      </c>
      <c r="Y138" s="164" t="s">
        <v>244</v>
      </c>
      <c r="Z138" s="167" t="s">
        <v>245</v>
      </c>
      <c r="AA138" s="164">
        <f>(B133+B134)*2/1000*AD138</f>
        <v>0</v>
      </c>
      <c r="AB138" s="164"/>
      <c r="AC138" s="164"/>
      <c r="AD138" s="310">
        <f>B135</f>
        <v>0</v>
      </c>
      <c r="AE138" s="197" t="s">
        <v>240</v>
      </c>
    </row>
    <row r="139" spans="1:31" s="40" customFormat="1" ht="15" hidden="1" customHeight="1" outlineLevel="1" x14ac:dyDescent="0.3">
      <c r="A139" s="39" t="s">
        <v>399</v>
      </c>
      <c r="B139" s="282">
        <f>B133-6</f>
        <v>-6</v>
      </c>
      <c r="C139" s="39"/>
      <c r="D139" s="39"/>
      <c r="E139" s="39"/>
      <c r="F139" s="124"/>
      <c r="G139" s="124"/>
      <c r="X139" s="162">
        <v>8</v>
      </c>
      <c r="Y139" s="165" t="s">
        <v>246</v>
      </c>
      <c r="Z139" s="167" t="s">
        <v>247</v>
      </c>
      <c r="AA139" s="164">
        <f>0.02*AD139</f>
        <v>0</v>
      </c>
      <c r="AB139" s="164"/>
      <c r="AC139" s="164"/>
      <c r="AD139" s="310">
        <f>B135</f>
        <v>0</v>
      </c>
      <c r="AE139" s="197" t="s">
        <v>240</v>
      </c>
    </row>
    <row r="140" spans="1:31" ht="15" hidden="1" customHeight="1" outlineLevel="1" x14ac:dyDescent="0.3">
      <c r="A140" s="39" t="s">
        <v>400</v>
      </c>
      <c r="B140" s="282">
        <f>B134-6</f>
        <v>-6</v>
      </c>
      <c r="C140" s="5"/>
      <c r="D140" s="124"/>
      <c r="E140" s="124"/>
      <c r="F140" s="124"/>
      <c r="G140" s="124"/>
      <c r="H140" s="124"/>
      <c r="X140" s="162">
        <v>9</v>
      </c>
      <c r="Y140" s="164" t="s">
        <v>475</v>
      </c>
      <c r="Z140" s="167" t="s">
        <v>474</v>
      </c>
      <c r="AA140" s="193">
        <f>(((B134*2)/1000)+0.5)/66*B135</f>
        <v>0</v>
      </c>
      <c r="AB140" s="164"/>
      <c r="AC140" s="164"/>
      <c r="AD140" s="310">
        <f>B135</f>
        <v>0</v>
      </c>
      <c r="AE140" s="197" t="s">
        <v>240</v>
      </c>
    </row>
    <row r="141" spans="1:31" ht="15" hidden="1" customHeight="1" outlineLevel="1" x14ac:dyDescent="0.3">
      <c r="A141" s="39" t="s">
        <v>401</v>
      </c>
      <c r="B141" s="283">
        <f>B139*B140/1000000</f>
        <v>3.6000000000000001E-5</v>
      </c>
      <c r="C141" s="5"/>
      <c r="D141" s="124"/>
      <c r="E141" s="124"/>
      <c r="F141" s="124"/>
      <c r="G141" s="124"/>
      <c r="H141" s="124"/>
      <c r="X141" s="162">
        <v>10</v>
      </c>
      <c r="Y141" s="164" t="s">
        <v>248</v>
      </c>
      <c r="Z141" s="167" t="s">
        <v>249</v>
      </c>
      <c r="AA141" s="193">
        <f>((B134*8/1000)+0.5)/45*B135</f>
        <v>0</v>
      </c>
      <c r="AB141" s="164"/>
      <c r="AC141" s="164"/>
      <c r="AD141" s="310">
        <f>B135</f>
        <v>0</v>
      </c>
      <c r="AE141" s="197" t="s">
        <v>240</v>
      </c>
    </row>
    <row r="142" spans="1:31" ht="15" hidden="1" customHeight="1" outlineLevel="1" x14ac:dyDescent="0.3">
      <c r="A142" s="145" t="s">
        <v>402</v>
      </c>
      <c r="B142" s="284">
        <f>B138*B141*B135</f>
        <v>0</v>
      </c>
      <c r="H142" s="124"/>
      <c r="X142" s="188">
        <v>11</v>
      </c>
      <c r="Y142" s="189" t="s">
        <v>250</v>
      </c>
      <c r="Z142" s="190" t="s">
        <v>251</v>
      </c>
      <c r="AA142" s="189">
        <f>((B134*4/1000)+1)</f>
        <v>1</v>
      </c>
      <c r="AB142" s="189"/>
      <c r="AC142" s="189"/>
      <c r="AD142" s="311">
        <f>B135</f>
        <v>0</v>
      </c>
      <c r="AE142" s="197" t="s">
        <v>240</v>
      </c>
    </row>
    <row r="143" spans="1:31" ht="15" hidden="1" customHeight="1" outlineLevel="1" x14ac:dyDescent="0.3">
      <c r="A143" s="39" t="s">
        <v>576</v>
      </c>
      <c r="B143" s="356">
        <f>IFERROR(IF(D143,(B139+B140)/1000*2*F143*B135,0),0)</f>
        <v>0</v>
      </c>
      <c r="C143" s="39" t="s">
        <v>574</v>
      </c>
      <c r="D143" s="39">
        <f>IFERROR(INDEX(Вставки[Обработка],MATCH(B137,Вставки[арт],0)) = 1,0)</f>
        <v>0</v>
      </c>
      <c r="E143" s="39" t="s">
        <v>6</v>
      </c>
      <c r="F143" s="250">
        <f>Ред!$E$91</f>
        <v>198.79999999999998</v>
      </c>
      <c r="H143" s="124"/>
      <c r="X143" s="189">
        <v>12</v>
      </c>
      <c r="Y143" s="189" t="s">
        <v>279</v>
      </c>
      <c r="Z143" s="167" t="s">
        <v>280</v>
      </c>
      <c r="AA143" s="189">
        <v>1</v>
      </c>
      <c r="AB143" s="164"/>
      <c r="AC143" s="189"/>
      <c r="AD143" s="310">
        <v>1</v>
      </c>
      <c r="AE143" s="256" t="s">
        <v>240</v>
      </c>
    </row>
    <row r="144" spans="1:31" ht="15" hidden="1" customHeight="1" outlineLevel="1" x14ac:dyDescent="0.3">
      <c r="A144" s="5"/>
      <c r="B144" s="288" t="s">
        <v>15</v>
      </c>
      <c r="C144" s="289" t="s">
        <v>371</v>
      </c>
      <c r="D144" s="290" t="s">
        <v>5</v>
      </c>
      <c r="E144" s="290" t="s">
        <v>3</v>
      </c>
      <c r="F144" s="291" t="s">
        <v>380</v>
      </c>
      <c r="G144" s="291" t="s">
        <v>7</v>
      </c>
      <c r="H144" s="124"/>
      <c r="X144" s="162">
        <v>13</v>
      </c>
      <c r="Y144" s="49" t="e">
        <f>INDEX(Ред!$A:$A,MATCH(Z144,Ред!B:B,0))</f>
        <v>#N/A</v>
      </c>
      <c r="Z144" s="167">
        <f>B153</f>
        <v>0</v>
      </c>
      <c r="AA144" s="50">
        <f>D153</f>
        <v>0</v>
      </c>
      <c r="AB144" s="164"/>
      <c r="AC144" s="164"/>
      <c r="AD144" s="310">
        <f>AA144</f>
        <v>0</v>
      </c>
      <c r="AE144" s="164" t="s">
        <v>241</v>
      </c>
    </row>
    <row r="145" spans="1:31" ht="15" hidden="1" customHeight="1" outlineLevel="1" x14ac:dyDescent="0.3">
      <c r="A145" s="292" t="s">
        <v>104</v>
      </c>
      <c r="B145" s="49" t="str">
        <f>INDEX(ПрофилиАрт[полноенаим],MATCH(B131&amp;C145,ПрофилиАрт[поиск],0))</f>
        <v>Фасад, Рамочный узкий профиль</v>
      </c>
      <c r="C145" s="21" t="str">
        <f>IF(A145=INDEX($P$3:$P$12, B130), "Да", "Нет")</f>
        <v>Нет</v>
      </c>
      <c r="D145" s="48" t="e">
        <f>INDEX(ПрофилиАрт[], MATCH(B145, ПрофилиАрт[полноенаим], 0), MATCH(B132, ПрофилиАрт[#Headers], 0))</f>
        <v>#N/A</v>
      </c>
      <c r="E145" s="293" t="e">
        <f>VLOOKUP(D145, Ред!$B:$F, 4, 0)</f>
        <v>#N/A</v>
      </c>
      <c r="F145" s="48">
        <f>B133+IF(C145="Да", 200, 100)</f>
        <v>100</v>
      </c>
      <c r="G145" s="293" t="e">
        <f>E145/5400*F145*B135</f>
        <v>#N/A</v>
      </c>
      <c r="H145" s="124"/>
      <c r="X145" s="164">
        <v>14</v>
      </c>
      <c r="Y145" s="164" t="e">
        <f>INDEX(Ред!$A:$A,MATCH(Z145,Ред!B:B,0))</f>
        <v>#N/A</v>
      </c>
      <c r="Z145" s="167">
        <f>B154</f>
        <v>0</v>
      </c>
      <c r="AA145" s="193" t="e">
        <f>ROUNDUP(D154/2.6,1)</f>
        <v>#N/A</v>
      </c>
      <c r="AB145" s="164"/>
      <c r="AC145" s="164"/>
      <c r="AD145" s="310">
        <f>B135</f>
        <v>0</v>
      </c>
      <c r="AE145" s="164" t="s">
        <v>240</v>
      </c>
    </row>
    <row r="146" spans="1:31" ht="15" hidden="1" customHeight="1" outlineLevel="1" x14ac:dyDescent="0.3">
      <c r="A146" s="292" t="s">
        <v>210</v>
      </c>
      <c r="B146" s="49" t="str">
        <f>INDEX(ПрофилиАрт[полноенаим],MATCH(B131&amp;C146,ПрофилиАрт[поиск],0))</f>
        <v>Фасад, Рамочный узкий профиль</v>
      </c>
      <c r="C146" s="21" t="str">
        <f>IF(A146=INDEX($P$3:$P$12, B130), "Да", "Нет")</f>
        <v>Нет</v>
      </c>
      <c r="D146" s="48" t="e">
        <f>INDEX(ПрофилиАрт[], MATCH(B146, ПрофилиАрт[полноенаим], 0), MATCH(B132, ПрофилиАрт[#Headers], 0))</f>
        <v>#N/A</v>
      </c>
      <c r="E146" s="293" t="e">
        <f>VLOOKUP(D146, Ред!$B:$F, 4, 0)</f>
        <v>#N/A</v>
      </c>
      <c r="F146" s="48">
        <f>B134+IF(C146="Да", 200, 100)</f>
        <v>100</v>
      </c>
      <c r="G146" s="293" t="e">
        <f>E146/5400*F146*B135</f>
        <v>#N/A</v>
      </c>
      <c r="H146" s="124"/>
      <c r="X146" s="164">
        <v>15</v>
      </c>
      <c r="Y146" s="164" t="e">
        <f>INDEX(Ред!$A:$A,MATCH(Z146,Ред!B:B,0))</f>
        <v>#N/A</v>
      </c>
      <c r="Z146" s="164">
        <f>B152</f>
        <v>0</v>
      </c>
      <c r="AA146" s="309">
        <f>D152</f>
        <v>0</v>
      </c>
      <c r="AB146" s="164"/>
      <c r="AC146" s="164"/>
      <c r="AD146" s="310">
        <f>B135</f>
        <v>0</v>
      </c>
      <c r="AE146" s="164" t="s">
        <v>241</v>
      </c>
    </row>
    <row r="147" spans="1:31" ht="15" hidden="1" customHeight="1" outlineLevel="1" x14ac:dyDescent="0.3">
      <c r="A147" s="292" t="s">
        <v>230</v>
      </c>
      <c r="B147" s="49" t="str">
        <f>INDEX(ПрофилиАрт[полноенаим],MATCH(B131&amp;C147,ПрофилиАрт[поиск],0))</f>
        <v>Фасад, Рамочный узкий профиль</v>
      </c>
      <c r="C147" s="21" t="str">
        <f>IF(A147=INDEX($P$3:$P$12, B130), "Да", "Нет")</f>
        <v>Нет</v>
      </c>
      <c r="D147" s="48" t="e">
        <f>INDEX(ПрофилиАрт[], MATCH(B147, ПрофилиАрт[полноенаим], 0), MATCH(B132, ПрофилиАрт[#Headers], 0))</f>
        <v>#N/A</v>
      </c>
      <c r="E147" s="293" t="e">
        <f>VLOOKUP(D147, Ред!$B:$F, 4, 0)</f>
        <v>#N/A</v>
      </c>
      <c r="F147" s="48">
        <f>B133+IF(C147="Да", 200, 100)</f>
        <v>100</v>
      </c>
      <c r="G147" s="293" t="e">
        <f>E147/5400*F147*B135</f>
        <v>#N/A</v>
      </c>
      <c r="H147" s="124"/>
    </row>
    <row r="148" spans="1:31" ht="15" hidden="1" customHeight="1" outlineLevel="1" x14ac:dyDescent="0.3">
      <c r="A148" s="292" t="s">
        <v>211</v>
      </c>
      <c r="B148" s="49" t="str">
        <f>INDEX(ПрофилиАрт[полноенаим],MATCH(B131&amp;C148,ПрофилиАрт[поиск],0))</f>
        <v>Фасад, Рамочный узкий профиль</v>
      </c>
      <c r="C148" s="21" t="str">
        <f>IF(A148=INDEX($P$3:$P$12, B130), "Да", "Нет")</f>
        <v>Нет</v>
      </c>
      <c r="D148" s="48" t="e">
        <f>INDEX(ПрофилиАрт[], MATCH(B148, ПрофилиАрт[полноенаим], 0), MATCH(B132, ПрофилиАрт[#Headers], 0))</f>
        <v>#N/A</v>
      </c>
      <c r="E148" s="293" t="e">
        <f>VLOOKUP(D148, Ред!$B:$F, 4, 0)</f>
        <v>#N/A</v>
      </c>
      <c r="F148" s="48">
        <f>B134+IF(C148="Да", 200, 100)</f>
        <v>100</v>
      </c>
      <c r="G148" s="293" t="e">
        <f>E148/5400*F148*B135</f>
        <v>#N/A</v>
      </c>
      <c r="H148" s="124"/>
    </row>
    <row r="149" spans="1:31" ht="15" hidden="1" customHeight="1" outlineLevel="1" x14ac:dyDescent="0.3">
      <c r="H149" s="124"/>
    </row>
    <row r="150" spans="1:31" ht="15" hidden="1" customHeight="1" outlineLevel="1" thickBot="1" x14ac:dyDescent="0.35">
      <c r="A150" s="297" t="s">
        <v>241</v>
      </c>
      <c r="B150" s="298" t="s">
        <v>389</v>
      </c>
      <c r="C150" s="299">
        <f>INDEX($Q$3:$Q$12, B130)</f>
        <v>0</v>
      </c>
      <c r="H150" s="124"/>
    </row>
    <row r="151" spans="1:31" ht="15" hidden="1" customHeight="1" outlineLevel="1" x14ac:dyDescent="0.3">
      <c r="B151" s="296" t="s">
        <v>390</v>
      </c>
      <c r="C151" s="19" t="s">
        <v>6</v>
      </c>
      <c r="D151" s="48" t="s">
        <v>379</v>
      </c>
      <c r="E151" s="48" t="s">
        <v>270</v>
      </c>
      <c r="F151" s="124"/>
      <c r="G151" s="124"/>
      <c r="H151" s="124"/>
    </row>
    <row r="152" spans="1:31" ht="15" hidden="1" customHeight="1" outlineLevel="1" x14ac:dyDescent="0.3">
      <c r="A152" s="294" t="s">
        <v>382</v>
      </c>
      <c r="B152" s="295">
        <f>IFERROR(INDEX(Фурнитура[Петли], MATCH(C150,Фурнитура[Цвет петель], 0)),0)</f>
        <v>0</v>
      </c>
      <c r="C152" s="293">
        <f>IFERROR(VLOOKUP(B152, Ред!$B:$F, 4, 0),0)</f>
        <v>0</v>
      </c>
      <c r="D152" s="50">
        <f>IF(INDEX($U$3:$U$12, B130)=0, 0, B135)</f>
        <v>0</v>
      </c>
      <c r="E152" s="48">
        <f>C152*D152</f>
        <v>0</v>
      </c>
      <c r="F152" s="124"/>
      <c r="G152" s="124"/>
      <c r="H152" s="124"/>
    </row>
    <row r="153" spans="1:31" ht="15" hidden="1" customHeight="1" outlineLevel="1" x14ac:dyDescent="0.3">
      <c r="A153" s="294" t="s">
        <v>383</v>
      </c>
      <c r="B153" s="295">
        <f>IFERROR(INDEX(Фурнитура[Уголок], MATCH(C150,Фурнитура[Цвет петель], 0)),0)</f>
        <v>0</v>
      </c>
      <c r="C153" s="293">
        <f>IFERROR(IF(B153="Нет", 0, VLOOKUP(B153, Ред!$B:$F, 4, 0)),0)</f>
        <v>0</v>
      </c>
      <c r="D153" s="50">
        <f>B135</f>
        <v>0</v>
      </c>
      <c r="E153" s="48">
        <f t="shared" ref="E153:E154" si="5">C153*D153</f>
        <v>0</v>
      </c>
      <c r="H153" s="124"/>
    </row>
    <row r="154" spans="1:31" ht="15" hidden="1" customHeight="1" outlineLevel="1" x14ac:dyDescent="0.3">
      <c r="A154" s="294" t="s">
        <v>384</v>
      </c>
      <c r="B154" s="295">
        <f>IFERROR(INDEX(Фурнитура[Уплотнитель], MATCH(C150,Фурнитура[Цвет петель], 0)),0)</f>
        <v>0</v>
      </c>
      <c r="C154" s="293">
        <f>IFERROR(VLOOKUP(B154, Ред!$B:$F, 4, 0),0)</f>
        <v>0</v>
      </c>
      <c r="D154" s="48" t="e">
        <f>IF(B132="BM",(((B133+B134)*2*B135/1000)/1)*1.1,(((B133+B134)*2*B135/1000)/1)*1.1)</f>
        <v>#N/A</v>
      </c>
      <c r="E154" s="48" t="e">
        <f t="shared" si="5"/>
        <v>#N/A</v>
      </c>
      <c r="H154" s="124"/>
    </row>
    <row r="155" spans="1:31" ht="15" hidden="1" customHeight="1" outlineLevel="1" x14ac:dyDescent="0.3">
      <c r="A155" s="70" t="s">
        <v>97</v>
      </c>
      <c r="B155" s="300"/>
      <c r="C155" s="71"/>
      <c r="D155" s="301"/>
      <c r="E155" s="71">
        <v>413</v>
      </c>
      <c r="F155" s="124"/>
      <c r="G155" s="124"/>
      <c r="H155" s="124"/>
    </row>
    <row r="156" spans="1:31" ht="15" hidden="1" customHeight="1" outlineLevel="1" x14ac:dyDescent="0.3">
      <c r="A156" s="70" t="s">
        <v>98</v>
      </c>
      <c r="B156" s="71"/>
      <c r="C156" s="71"/>
      <c r="D156" s="71"/>
      <c r="E156" s="71">
        <v>413</v>
      </c>
      <c r="H156" s="124"/>
    </row>
    <row r="157" spans="1:31" ht="15" hidden="1" customHeight="1" outlineLevel="1" x14ac:dyDescent="0.3"/>
    <row r="158" spans="1:31" ht="15" hidden="1" customHeight="1" outlineLevel="1" thickBot="1" x14ac:dyDescent="0.35">
      <c r="A158" s="302" t="s">
        <v>395</v>
      </c>
      <c r="B158" s="285" t="e">
        <f>SUM(B142:B143, G145:G148, E152:E156)</f>
        <v>#N/A</v>
      </c>
      <c r="C158" s="5"/>
      <c r="F158" s="278"/>
    </row>
    <row r="159" spans="1:31" ht="15" hidden="1" customHeight="1" outlineLevel="1" thickTop="1" x14ac:dyDescent="0.3">
      <c r="A159" s="145"/>
      <c r="B159" s="134"/>
      <c r="D159" s="124"/>
      <c r="E159" s="124"/>
      <c r="F159" s="124"/>
      <c r="G159" s="124"/>
      <c r="H159" s="124"/>
    </row>
    <row r="160" spans="1:31" ht="15.6" hidden="1" outlineLevel="1" x14ac:dyDescent="0.3">
      <c r="A160" s="145"/>
      <c r="B160" s="134"/>
      <c r="C160" s="5"/>
    </row>
    <row r="161" spans="1:31" ht="16.2" hidden="1" outlineLevel="1" thickBot="1" x14ac:dyDescent="0.35">
      <c r="A161" s="145"/>
      <c r="B161" s="134"/>
      <c r="C161" s="5"/>
      <c r="X161" s="661" t="s">
        <v>257</v>
      </c>
      <c r="Y161" s="661"/>
      <c r="Z161" s="661"/>
      <c r="AA161" s="661"/>
      <c r="AB161" s="661"/>
      <c r="AC161" s="661"/>
      <c r="AD161" s="661"/>
      <c r="AE161" s="661"/>
    </row>
    <row r="162" spans="1:31" ht="15" customHeight="1" collapsed="1" thickTop="1" thickBot="1" x14ac:dyDescent="0.45">
      <c r="A162" s="286" t="s">
        <v>396</v>
      </c>
      <c r="B162" s="287">
        <v>6</v>
      </c>
      <c r="X162" s="147" t="s">
        <v>115</v>
      </c>
      <c r="Y162" s="147" t="s">
        <v>232</v>
      </c>
      <c r="Z162" s="147" t="s">
        <v>233</v>
      </c>
      <c r="AA162" s="163" t="s">
        <v>149</v>
      </c>
      <c r="AB162" s="147" t="s">
        <v>234</v>
      </c>
      <c r="AC162" s="147" t="s">
        <v>235</v>
      </c>
      <c r="AD162" s="148" t="s">
        <v>236</v>
      </c>
      <c r="AE162" s="147" t="s">
        <v>237</v>
      </c>
    </row>
    <row r="163" spans="1:31" ht="15" hidden="1" customHeight="1" outlineLevel="1" thickTop="1" x14ac:dyDescent="0.3">
      <c r="A163" s="134" t="s">
        <v>358</v>
      </c>
      <c r="B163" s="279" t="s">
        <v>365</v>
      </c>
      <c r="C163" s="5"/>
      <c r="X163" s="161"/>
      <c r="Y163" s="191" t="s">
        <v>15</v>
      </c>
      <c r="Z163" s="191" t="s">
        <v>5</v>
      </c>
      <c r="AA163" s="191" t="s">
        <v>238</v>
      </c>
      <c r="AB163" s="191" t="s">
        <v>239</v>
      </c>
      <c r="AC163" s="195" t="s">
        <v>16</v>
      </c>
      <c r="AD163" s="196" t="s">
        <v>8</v>
      </c>
      <c r="AE163" s="191"/>
    </row>
    <row r="164" spans="1:31" ht="15" hidden="1" customHeight="1" outlineLevel="1" x14ac:dyDescent="0.3">
      <c r="A164" s="5" t="s">
        <v>376</v>
      </c>
      <c r="B164" s="279" t="e">
        <f>INDEX($L$3:$L$12, B162)</f>
        <v>#N/A</v>
      </c>
      <c r="C164" s="5"/>
      <c r="X164" s="162">
        <v>1</v>
      </c>
      <c r="Y164" s="162" t="str">
        <f>B177</f>
        <v>Фасад, Рамочный узкий профиль</v>
      </c>
      <c r="Z164" s="166" t="e">
        <f>D177</f>
        <v>#N/A</v>
      </c>
      <c r="AA164" s="192">
        <f>ROUNDUP(F177/5400*1.1*AD164, 2)</f>
        <v>0</v>
      </c>
      <c r="AB164" s="194"/>
      <c r="AC164" s="162" t="str">
        <f>B165&amp;"мм-"&amp;B167&amp;"шт"</f>
        <v>0мм-0шт</v>
      </c>
      <c r="AD164" s="310">
        <f>B167</f>
        <v>0</v>
      </c>
      <c r="AE164" s="197" t="s">
        <v>240</v>
      </c>
    </row>
    <row r="165" spans="1:31" ht="15" hidden="1" customHeight="1" outlineLevel="1" x14ac:dyDescent="0.3">
      <c r="A165" s="5" t="s">
        <v>4</v>
      </c>
      <c r="B165" s="279">
        <f>INDEX($R$3:$R$12, B162)</f>
        <v>0</v>
      </c>
      <c r="C165" s="5"/>
      <c r="X165" s="162">
        <v>2</v>
      </c>
      <c r="Y165" s="162" t="str">
        <f>B178</f>
        <v>Фасад, Рамочный узкий профиль</v>
      </c>
      <c r="Z165" s="166" t="e">
        <f>D178</f>
        <v>#N/A</v>
      </c>
      <c r="AA165" s="192">
        <f>ROUNDUP(F178/5400*1.1*AD165, 2)</f>
        <v>0</v>
      </c>
      <c r="AB165" s="162"/>
      <c r="AC165" s="162" t="str">
        <f>B166&amp;"мм-"&amp;B167&amp;"шт"</f>
        <v>0мм-0шт</v>
      </c>
      <c r="AD165" s="310">
        <f>B167</f>
        <v>0</v>
      </c>
      <c r="AE165" s="197" t="s">
        <v>240</v>
      </c>
    </row>
    <row r="166" spans="1:31" ht="15" hidden="1" customHeight="1" outlineLevel="1" x14ac:dyDescent="0.3">
      <c r="A166" s="5" t="s">
        <v>1</v>
      </c>
      <c r="B166" s="279">
        <f>INDEX($S$3:$S$12, B162)</f>
        <v>0</v>
      </c>
      <c r="D166" s="134"/>
      <c r="E166" s="124"/>
      <c r="F166" s="124"/>
      <c r="G166" s="124"/>
      <c r="X166" s="162">
        <v>3</v>
      </c>
      <c r="Y166" s="164" t="str">
        <f>B179</f>
        <v>Фасад, Рамочный узкий профиль</v>
      </c>
      <c r="Z166" s="193" t="e">
        <f>D179</f>
        <v>#N/A</v>
      </c>
      <c r="AA166" s="192">
        <f>ROUNDUP(F179/5400*1.1*AD166, 2)</f>
        <v>0</v>
      </c>
      <c r="AB166" s="164"/>
      <c r="AC166" s="162" t="str">
        <f>B165&amp;"мм-"&amp;B167&amp;"шт"</f>
        <v>0мм-0шт</v>
      </c>
      <c r="AD166" s="310">
        <f>B167</f>
        <v>0</v>
      </c>
      <c r="AE166" s="197" t="s">
        <v>240</v>
      </c>
    </row>
    <row r="167" spans="1:31" ht="15" hidden="1" customHeight="1" outlineLevel="1" x14ac:dyDescent="0.3">
      <c r="A167" s="39" t="s">
        <v>72</v>
      </c>
      <c r="B167" s="280">
        <f>INDEX($T$3:$T$12, B162)</f>
        <v>0</v>
      </c>
      <c r="C167" s="40"/>
      <c r="D167" s="40"/>
      <c r="E167" s="40"/>
      <c r="F167" s="271"/>
      <c r="G167" s="271"/>
      <c r="X167" s="162">
        <v>4</v>
      </c>
      <c r="Y167" s="164" t="str">
        <f>B180</f>
        <v>Фасад, Рамочный узкий профиль</v>
      </c>
      <c r="Z167" s="193" t="e">
        <f>D180</f>
        <v>#N/A</v>
      </c>
      <c r="AA167" s="192">
        <f>ROUNDUP(F180/5400*1.1*AD167, 2)</f>
        <v>0</v>
      </c>
      <c r="AB167" s="194"/>
      <c r="AC167" s="162" t="str">
        <f>B166&amp;"мм-"&amp;B167&amp;"шт"</f>
        <v>0мм-0шт</v>
      </c>
      <c r="AD167" s="310">
        <f>B167</f>
        <v>0</v>
      </c>
      <c r="AE167" s="197" t="s">
        <v>240</v>
      </c>
    </row>
    <row r="168" spans="1:31" ht="15" hidden="1" customHeight="1" outlineLevel="1" x14ac:dyDescent="0.3">
      <c r="A168" s="39" t="s">
        <v>360</v>
      </c>
      <c r="B168" s="269">
        <f>INDEX($M$3:$M$12, B162)</f>
        <v>0</v>
      </c>
      <c r="F168" s="124"/>
      <c r="G168" s="124"/>
      <c r="X168" s="162">
        <v>5</v>
      </c>
      <c r="Y168" s="164">
        <f>B168</f>
        <v>0</v>
      </c>
      <c r="Z168" s="164" t="str">
        <f>B169</f>
        <v>.</v>
      </c>
      <c r="AA168" s="309">
        <f>B167</f>
        <v>0</v>
      </c>
      <c r="AB168" s="164" t="str">
        <f>CONCATENATE("В ",B171,", ","Ш ",B172)</f>
        <v>В -6, Ш -6</v>
      </c>
      <c r="AC168" s="164"/>
      <c r="AD168" s="310">
        <f>B167</f>
        <v>0</v>
      </c>
      <c r="AE168" s="197" t="s">
        <v>278</v>
      </c>
    </row>
    <row r="169" spans="1:31" ht="15" hidden="1" customHeight="1" outlineLevel="1" x14ac:dyDescent="0.3">
      <c r="A169" s="39" t="s">
        <v>381</v>
      </c>
      <c r="B169" s="269" t="str">
        <f>IFERROR(INDEX($N$3:$N$12, B162),0)</f>
        <v>.</v>
      </c>
      <c r="F169" s="124"/>
      <c r="G169" s="124"/>
      <c r="X169" s="162">
        <v>6</v>
      </c>
      <c r="Y169" s="164" t="s">
        <v>242</v>
      </c>
      <c r="Z169" s="167" t="s">
        <v>243</v>
      </c>
      <c r="AA169" s="164">
        <f>IF(B165&gt;550,2*AD169,1*AD169)</f>
        <v>0</v>
      </c>
      <c r="AB169" s="164"/>
      <c r="AC169" s="164"/>
      <c r="AD169" s="310">
        <f>B167</f>
        <v>0</v>
      </c>
      <c r="AE169" s="197" t="s">
        <v>240</v>
      </c>
    </row>
    <row r="170" spans="1:31" ht="15" hidden="1" customHeight="1" outlineLevel="1" x14ac:dyDescent="0.3">
      <c r="A170" s="39" t="s">
        <v>398</v>
      </c>
      <c r="B170" s="281">
        <f>IFERROR(IF(B169=".", 0, VLOOKUP(B169, Ред!$B:$F, 4, 0)),0)</f>
        <v>0</v>
      </c>
      <c r="F170" s="124"/>
      <c r="G170" s="124"/>
      <c r="H170" s="124"/>
      <c r="X170" s="162">
        <v>7</v>
      </c>
      <c r="Y170" s="164" t="s">
        <v>244</v>
      </c>
      <c r="Z170" s="167" t="s">
        <v>245</v>
      </c>
      <c r="AA170" s="164">
        <f>(B165+B166)*2/1000*AD170</f>
        <v>0</v>
      </c>
      <c r="AB170" s="164"/>
      <c r="AC170" s="164"/>
      <c r="AD170" s="310">
        <f>B167</f>
        <v>0</v>
      </c>
      <c r="AE170" s="197" t="s">
        <v>240</v>
      </c>
    </row>
    <row r="171" spans="1:31" s="40" customFormat="1" ht="15" hidden="1" customHeight="1" outlineLevel="1" x14ac:dyDescent="0.3">
      <c r="A171" s="39" t="s">
        <v>399</v>
      </c>
      <c r="B171" s="282">
        <f>B165-6</f>
        <v>-6</v>
      </c>
      <c r="C171" s="39"/>
      <c r="D171" s="39"/>
      <c r="E171" s="39"/>
      <c r="F171" s="124"/>
      <c r="G171" s="124"/>
      <c r="X171" s="162">
        <v>8</v>
      </c>
      <c r="Y171" s="165" t="s">
        <v>246</v>
      </c>
      <c r="Z171" s="167" t="s">
        <v>247</v>
      </c>
      <c r="AA171" s="164">
        <f>0.02*AD171</f>
        <v>0</v>
      </c>
      <c r="AB171" s="164"/>
      <c r="AC171" s="164"/>
      <c r="AD171" s="310">
        <f>B167</f>
        <v>0</v>
      </c>
      <c r="AE171" s="197" t="s">
        <v>240</v>
      </c>
    </row>
    <row r="172" spans="1:31" ht="15" hidden="1" customHeight="1" outlineLevel="1" x14ac:dyDescent="0.3">
      <c r="A172" s="39" t="s">
        <v>400</v>
      </c>
      <c r="B172" s="282">
        <f>B166-6</f>
        <v>-6</v>
      </c>
      <c r="C172" s="5"/>
      <c r="D172" s="124"/>
      <c r="E172" s="124"/>
      <c r="F172" s="124"/>
      <c r="G172" s="124"/>
      <c r="H172" s="124"/>
      <c r="X172" s="162">
        <v>9</v>
      </c>
      <c r="Y172" s="164" t="s">
        <v>475</v>
      </c>
      <c r="Z172" s="167" t="s">
        <v>474</v>
      </c>
      <c r="AA172" s="193">
        <f>(((B166*2)/1000)+0.5)/66*B167</f>
        <v>0</v>
      </c>
      <c r="AB172" s="164"/>
      <c r="AC172" s="164"/>
      <c r="AD172" s="310">
        <f>B167</f>
        <v>0</v>
      </c>
      <c r="AE172" s="197" t="s">
        <v>240</v>
      </c>
    </row>
    <row r="173" spans="1:31" ht="15" hidden="1" customHeight="1" outlineLevel="1" x14ac:dyDescent="0.3">
      <c r="A173" s="39" t="s">
        <v>401</v>
      </c>
      <c r="B173" s="283">
        <f>B171*B172/1000000</f>
        <v>3.6000000000000001E-5</v>
      </c>
      <c r="C173" s="5"/>
      <c r="D173" s="124"/>
      <c r="E173" s="124"/>
      <c r="F173" s="124"/>
      <c r="G173" s="124"/>
      <c r="H173" s="124"/>
      <c r="X173" s="162">
        <v>10</v>
      </c>
      <c r="Y173" s="164" t="s">
        <v>248</v>
      </c>
      <c r="Z173" s="167" t="s">
        <v>249</v>
      </c>
      <c r="AA173" s="193">
        <f>((B166*8/1000)+0.5)/45*B167</f>
        <v>0</v>
      </c>
      <c r="AB173" s="164"/>
      <c r="AC173" s="164"/>
      <c r="AD173" s="310">
        <f>B167</f>
        <v>0</v>
      </c>
      <c r="AE173" s="197" t="s">
        <v>240</v>
      </c>
    </row>
    <row r="174" spans="1:31" ht="15" hidden="1" customHeight="1" outlineLevel="1" x14ac:dyDescent="0.3">
      <c r="A174" s="145" t="s">
        <v>402</v>
      </c>
      <c r="B174" s="284">
        <f>B170*B173*B167</f>
        <v>0</v>
      </c>
      <c r="H174" s="124"/>
      <c r="X174" s="188">
        <v>11</v>
      </c>
      <c r="Y174" s="189" t="s">
        <v>250</v>
      </c>
      <c r="Z174" s="190" t="s">
        <v>251</v>
      </c>
      <c r="AA174" s="189">
        <f>((B166*4/1000)+1)</f>
        <v>1</v>
      </c>
      <c r="AB174" s="189"/>
      <c r="AC174" s="189"/>
      <c r="AD174" s="311">
        <f>B167</f>
        <v>0</v>
      </c>
      <c r="AE174" s="197" t="s">
        <v>240</v>
      </c>
    </row>
    <row r="175" spans="1:31" ht="15" hidden="1" customHeight="1" outlineLevel="1" x14ac:dyDescent="0.3">
      <c r="A175" s="39" t="s">
        <v>576</v>
      </c>
      <c r="B175" s="356">
        <f>IFERROR(IF(D175,(B171+B172)/1000*2*F175*B167,0),0)</f>
        <v>0</v>
      </c>
      <c r="C175" s="39" t="s">
        <v>574</v>
      </c>
      <c r="D175" s="39">
        <f>IFERROR(INDEX(Вставки[Обработка],MATCH(B169,Вставки[арт],0)) = 1,0)</f>
        <v>0</v>
      </c>
      <c r="E175" s="39" t="s">
        <v>6</v>
      </c>
      <c r="F175" s="250">
        <f>Ред!$E$91</f>
        <v>198.79999999999998</v>
      </c>
      <c r="H175" s="124"/>
      <c r="X175" s="189">
        <v>12</v>
      </c>
      <c r="Y175" s="189" t="s">
        <v>279</v>
      </c>
      <c r="Z175" s="167" t="s">
        <v>280</v>
      </c>
      <c r="AA175" s="189">
        <v>1</v>
      </c>
      <c r="AB175" s="164"/>
      <c r="AC175" s="189"/>
      <c r="AD175" s="310">
        <v>1</v>
      </c>
      <c r="AE175" s="256" t="s">
        <v>240</v>
      </c>
    </row>
    <row r="176" spans="1:31" ht="15" hidden="1" customHeight="1" outlineLevel="1" x14ac:dyDescent="0.3">
      <c r="A176" s="5"/>
      <c r="B176" s="288" t="s">
        <v>15</v>
      </c>
      <c r="C176" s="289" t="s">
        <v>371</v>
      </c>
      <c r="D176" s="290" t="s">
        <v>5</v>
      </c>
      <c r="E176" s="290" t="s">
        <v>3</v>
      </c>
      <c r="F176" s="291" t="s">
        <v>380</v>
      </c>
      <c r="G176" s="291" t="s">
        <v>7</v>
      </c>
      <c r="H176" s="124"/>
      <c r="X176" s="162">
        <v>13</v>
      </c>
      <c r="Y176" s="49" t="e">
        <f>INDEX(Ред!$A:$A,MATCH(Z176,Ред!B:B,0))</f>
        <v>#N/A</v>
      </c>
      <c r="Z176" s="167">
        <f>B185</f>
        <v>0</v>
      </c>
      <c r="AA176" s="50">
        <f>D185</f>
        <v>0</v>
      </c>
      <c r="AB176" s="164"/>
      <c r="AC176" s="164"/>
      <c r="AD176" s="310">
        <f>AA176</f>
        <v>0</v>
      </c>
      <c r="AE176" s="164" t="s">
        <v>241</v>
      </c>
    </row>
    <row r="177" spans="1:31" ht="15" hidden="1" customHeight="1" outlineLevel="1" x14ac:dyDescent="0.3">
      <c r="A177" s="292" t="s">
        <v>104</v>
      </c>
      <c r="B177" s="49" t="str">
        <f>INDEX(ПрофилиАрт[полноенаим],MATCH(B163&amp;C177,ПрофилиАрт[поиск],0))</f>
        <v>Фасад, Рамочный узкий профиль</v>
      </c>
      <c r="C177" s="21" t="str">
        <f>IF(A177=INDEX($P$3:$P$12, B162), "Да", "Нет")</f>
        <v>Нет</v>
      </c>
      <c r="D177" s="48" t="e">
        <f>INDEX(ПрофилиАрт[], MATCH(B177, ПрофилиАрт[полноенаим], 0), MATCH(B164, ПрофилиАрт[#Headers], 0))</f>
        <v>#N/A</v>
      </c>
      <c r="E177" s="293" t="e">
        <f>VLOOKUP(D177, Ред!$B:$F, 4, 0)</f>
        <v>#N/A</v>
      </c>
      <c r="F177" s="48">
        <f>B165+IF(C177="Да", 200, 100)</f>
        <v>100</v>
      </c>
      <c r="G177" s="293" t="e">
        <f>E177/5400*F177*B167</f>
        <v>#N/A</v>
      </c>
      <c r="H177" s="124"/>
      <c r="X177" s="164">
        <v>14</v>
      </c>
      <c r="Y177" s="164" t="e">
        <f>INDEX(Ред!$A:$A,MATCH(Z177,Ред!B:B,0))</f>
        <v>#N/A</v>
      </c>
      <c r="Z177" s="167">
        <f>B186</f>
        <v>0</v>
      </c>
      <c r="AA177" s="193" t="e">
        <f>ROUNDUP(D186/2.6,1)</f>
        <v>#N/A</v>
      </c>
      <c r="AB177" s="164"/>
      <c r="AC177" s="164"/>
      <c r="AD177" s="310">
        <f>B167</f>
        <v>0</v>
      </c>
      <c r="AE177" s="164" t="s">
        <v>240</v>
      </c>
    </row>
    <row r="178" spans="1:31" ht="15" hidden="1" customHeight="1" outlineLevel="1" x14ac:dyDescent="0.3">
      <c r="A178" s="292" t="s">
        <v>210</v>
      </c>
      <c r="B178" s="49" t="str">
        <f>INDEX(ПрофилиАрт[полноенаим],MATCH(B163&amp;C178,ПрофилиАрт[поиск],0))</f>
        <v>Фасад, Рамочный узкий профиль</v>
      </c>
      <c r="C178" s="21" t="str">
        <f>IF(A178=INDEX($P$3:$P$12, B162), "Да", "Нет")</f>
        <v>Нет</v>
      </c>
      <c r="D178" s="48" t="e">
        <f>INDEX(ПрофилиАрт[], MATCH(B178, ПрофилиАрт[полноенаим], 0), MATCH(B164, ПрофилиАрт[#Headers], 0))</f>
        <v>#N/A</v>
      </c>
      <c r="E178" s="293" t="e">
        <f>VLOOKUP(D178, Ред!$B:$F, 4, 0)</f>
        <v>#N/A</v>
      </c>
      <c r="F178" s="48">
        <f>B166+IF(C178="Да", 200, 100)</f>
        <v>100</v>
      </c>
      <c r="G178" s="293" t="e">
        <f>E178/5400*F178*B167</f>
        <v>#N/A</v>
      </c>
      <c r="H178" s="124"/>
      <c r="X178" s="164">
        <v>15</v>
      </c>
      <c r="Y178" s="164" t="e">
        <f>INDEX(Ред!$A:$A,MATCH(Z178,Ред!B:B,0))</f>
        <v>#N/A</v>
      </c>
      <c r="Z178" s="164">
        <f>B184</f>
        <v>0</v>
      </c>
      <c r="AA178" s="309">
        <f>D184</f>
        <v>0</v>
      </c>
      <c r="AB178" s="164"/>
      <c r="AC178" s="164"/>
      <c r="AD178" s="310">
        <f>B167</f>
        <v>0</v>
      </c>
      <c r="AE178" s="164" t="s">
        <v>241</v>
      </c>
    </row>
    <row r="179" spans="1:31" ht="15" hidden="1" customHeight="1" outlineLevel="1" x14ac:dyDescent="0.3">
      <c r="A179" s="292" t="s">
        <v>230</v>
      </c>
      <c r="B179" s="49" t="str">
        <f>INDEX(ПрофилиАрт[полноенаим],MATCH(B163&amp;C179,ПрофилиАрт[поиск],0))</f>
        <v>Фасад, Рамочный узкий профиль</v>
      </c>
      <c r="C179" s="21" t="str">
        <f>IF(A179=INDEX($P$3:$P$12, B162), "Да", "Нет")</f>
        <v>Нет</v>
      </c>
      <c r="D179" s="48" t="e">
        <f>INDEX(ПрофилиАрт[], MATCH(B179, ПрофилиАрт[полноенаим], 0), MATCH(B164, ПрофилиАрт[#Headers], 0))</f>
        <v>#N/A</v>
      </c>
      <c r="E179" s="293" t="e">
        <f>VLOOKUP(D179, Ред!$B:$F, 4, 0)</f>
        <v>#N/A</v>
      </c>
      <c r="F179" s="48">
        <f>B165+IF(C179="Да", 200, 100)</f>
        <v>100</v>
      </c>
      <c r="G179" s="293" t="e">
        <f>E179/5400*F179*B167</f>
        <v>#N/A</v>
      </c>
      <c r="H179" s="124"/>
    </row>
    <row r="180" spans="1:31" ht="15" hidden="1" customHeight="1" outlineLevel="1" x14ac:dyDescent="0.3">
      <c r="A180" s="292" t="s">
        <v>211</v>
      </c>
      <c r="B180" s="49" t="str">
        <f>INDEX(ПрофилиАрт[полноенаим],MATCH(B163&amp;C180,ПрофилиАрт[поиск],0))</f>
        <v>Фасад, Рамочный узкий профиль</v>
      </c>
      <c r="C180" s="21" t="str">
        <f>IF(A180=INDEX($P$3:$P$12, B162), "Да", "Нет")</f>
        <v>Нет</v>
      </c>
      <c r="D180" s="48" t="e">
        <f>INDEX(ПрофилиАрт[], MATCH(B180, ПрофилиАрт[полноенаим], 0), MATCH(B164, ПрофилиАрт[#Headers], 0))</f>
        <v>#N/A</v>
      </c>
      <c r="E180" s="293" t="e">
        <f>VLOOKUP(D180, Ред!$B:$F, 4, 0)</f>
        <v>#N/A</v>
      </c>
      <c r="F180" s="48">
        <f>B166+IF(C180="Да", 200, 100)</f>
        <v>100</v>
      </c>
      <c r="G180" s="293" t="e">
        <f>E180/5400*F180*B167</f>
        <v>#N/A</v>
      </c>
      <c r="H180" s="124"/>
    </row>
    <row r="181" spans="1:31" ht="15" hidden="1" customHeight="1" outlineLevel="1" x14ac:dyDescent="0.3">
      <c r="H181" s="124"/>
    </row>
    <row r="182" spans="1:31" ht="15" hidden="1" customHeight="1" outlineLevel="1" thickBot="1" x14ac:dyDescent="0.35">
      <c r="A182" s="297" t="s">
        <v>241</v>
      </c>
      <c r="B182" s="298" t="s">
        <v>389</v>
      </c>
      <c r="C182" s="299">
        <f>INDEX($Q$3:$Q$12, B162)</f>
        <v>0</v>
      </c>
      <c r="H182" s="124"/>
    </row>
    <row r="183" spans="1:31" ht="15" hidden="1" customHeight="1" outlineLevel="1" x14ac:dyDescent="0.3">
      <c r="B183" s="296" t="s">
        <v>390</v>
      </c>
      <c r="C183" s="19" t="s">
        <v>6</v>
      </c>
      <c r="D183" s="48" t="s">
        <v>379</v>
      </c>
      <c r="E183" s="48" t="s">
        <v>270</v>
      </c>
      <c r="F183" s="124"/>
      <c r="G183" s="124"/>
      <c r="H183" s="124"/>
    </row>
    <row r="184" spans="1:31" ht="15" hidden="1" customHeight="1" outlineLevel="1" x14ac:dyDescent="0.3">
      <c r="A184" s="294" t="s">
        <v>382</v>
      </c>
      <c r="B184" s="295">
        <f>IFERROR(INDEX(Фурнитура[Петли], MATCH(C182,Фурнитура[Цвет петель], 0)),0)</f>
        <v>0</v>
      </c>
      <c r="C184" s="293">
        <f>IFERROR(VLOOKUP(B184, Ред!$B:$F, 4, 0),0)</f>
        <v>0</v>
      </c>
      <c r="D184" s="50">
        <f>IF(INDEX($U$3:$U$12, B162)=0, 0, B167)</f>
        <v>0</v>
      </c>
      <c r="E184" s="48">
        <f>C184*D184</f>
        <v>0</v>
      </c>
      <c r="F184" s="124"/>
      <c r="G184" s="124"/>
      <c r="H184" s="124"/>
    </row>
    <row r="185" spans="1:31" ht="15" hidden="1" customHeight="1" outlineLevel="1" x14ac:dyDescent="0.3">
      <c r="A185" s="294" t="s">
        <v>383</v>
      </c>
      <c r="B185" s="295">
        <f>IFERROR(INDEX(Фурнитура[Уголок], MATCH(C182,Фурнитура[Цвет петель], 0)),0)</f>
        <v>0</v>
      </c>
      <c r="C185" s="293">
        <f>IFERROR(IF(B185="Нет", 0, VLOOKUP(B185, Ред!$B:$F, 4, 0)),0)</f>
        <v>0</v>
      </c>
      <c r="D185" s="50">
        <f>B167</f>
        <v>0</v>
      </c>
      <c r="E185" s="48">
        <f t="shared" ref="E185:E186" si="6">C185*D185</f>
        <v>0</v>
      </c>
      <c r="H185" s="124"/>
    </row>
    <row r="186" spans="1:31" ht="15" hidden="1" customHeight="1" outlineLevel="1" x14ac:dyDescent="0.3">
      <c r="A186" s="294" t="s">
        <v>384</v>
      </c>
      <c r="B186" s="295">
        <f>IFERROR(INDEX(Фурнитура[Уплотнитель], MATCH(C182,Фурнитура[Цвет петель], 0)),0)</f>
        <v>0</v>
      </c>
      <c r="C186" s="293">
        <f>IFERROR(VLOOKUP(B186, Ред!$B:$F, 4, 0),0)</f>
        <v>0</v>
      </c>
      <c r="D186" s="48" t="e">
        <f>IF(B164="BM",(((B165+B166)*2*B167/1000)/1)*1.1,(((B165+B166)*2*B167/1000)/1)*1.1)</f>
        <v>#N/A</v>
      </c>
      <c r="E186" s="48" t="e">
        <f t="shared" si="6"/>
        <v>#N/A</v>
      </c>
      <c r="H186" s="124"/>
    </row>
    <row r="187" spans="1:31" ht="15" hidden="1" customHeight="1" outlineLevel="1" x14ac:dyDescent="0.3">
      <c r="A187" s="70" t="s">
        <v>97</v>
      </c>
      <c r="B187" s="300"/>
      <c r="C187" s="71"/>
      <c r="D187" s="301"/>
      <c r="E187" s="71">
        <v>413</v>
      </c>
      <c r="F187" s="124"/>
      <c r="G187" s="124"/>
      <c r="H187" s="124"/>
    </row>
    <row r="188" spans="1:31" ht="15" hidden="1" customHeight="1" outlineLevel="1" x14ac:dyDescent="0.3">
      <c r="A188" s="70" t="s">
        <v>98</v>
      </c>
      <c r="B188" s="71"/>
      <c r="C188" s="71"/>
      <c r="D188" s="71"/>
      <c r="E188" s="71">
        <v>413</v>
      </c>
      <c r="H188" s="124"/>
    </row>
    <row r="189" spans="1:31" ht="15" hidden="1" customHeight="1" outlineLevel="1" x14ac:dyDescent="0.3"/>
    <row r="190" spans="1:31" ht="15" hidden="1" customHeight="1" outlineLevel="1" thickBot="1" x14ac:dyDescent="0.35">
      <c r="A190" s="302" t="s">
        <v>395</v>
      </c>
      <c r="B190" s="285" t="e">
        <f>SUM(B174:B175, G177:G180, E184:E188)</f>
        <v>#N/A</v>
      </c>
      <c r="C190" s="5"/>
      <c r="F190" s="278"/>
    </row>
    <row r="191" spans="1:31" ht="15" hidden="1" customHeight="1" outlineLevel="1" thickTop="1" x14ac:dyDescent="0.3">
      <c r="A191" s="145"/>
      <c r="B191" s="134"/>
      <c r="D191" s="124"/>
      <c r="E191" s="124"/>
      <c r="F191" s="124"/>
      <c r="G191" s="124"/>
      <c r="H191" s="124"/>
    </row>
    <row r="192" spans="1:31" ht="15.6" hidden="1" outlineLevel="1" x14ac:dyDescent="0.3">
      <c r="A192" s="145"/>
      <c r="B192" s="134"/>
      <c r="C192" s="5"/>
    </row>
    <row r="193" spans="1:31" ht="16.2" hidden="1" outlineLevel="1" thickBot="1" x14ac:dyDescent="0.35">
      <c r="A193" s="145"/>
      <c r="B193" s="134"/>
      <c r="C193" s="5"/>
      <c r="X193" s="661" t="s">
        <v>256</v>
      </c>
      <c r="Y193" s="661"/>
      <c r="Z193" s="661"/>
      <c r="AA193" s="661"/>
      <c r="AB193" s="661"/>
      <c r="AC193" s="661"/>
      <c r="AD193" s="661"/>
      <c r="AE193" s="661"/>
    </row>
    <row r="194" spans="1:31" ht="15" customHeight="1" collapsed="1" thickTop="1" thickBot="1" x14ac:dyDescent="0.45">
      <c r="A194" s="286" t="s">
        <v>396</v>
      </c>
      <c r="B194" s="287">
        <v>7</v>
      </c>
      <c r="X194" s="147" t="s">
        <v>115</v>
      </c>
      <c r="Y194" s="147" t="s">
        <v>232</v>
      </c>
      <c r="Z194" s="147" t="s">
        <v>233</v>
      </c>
      <c r="AA194" s="163" t="s">
        <v>149</v>
      </c>
      <c r="AB194" s="147" t="s">
        <v>234</v>
      </c>
      <c r="AC194" s="147" t="s">
        <v>235</v>
      </c>
      <c r="AD194" s="148" t="s">
        <v>236</v>
      </c>
      <c r="AE194" s="147" t="s">
        <v>237</v>
      </c>
    </row>
    <row r="195" spans="1:31" ht="15" hidden="1" customHeight="1" outlineLevel="1" thickTop="1" x14ac:dyDescent="0.3">
      <c r="A195" s="134" t="s">
        <v>358</v>
      </c>
      <c r="B195" s="279" t="s">
        <v>365</v>
      </c>
      <c r="C195" s="5"/>
      <c r="X195" s="161"/>
      <c r="Y195" s="191" t="s">
        <v>15</v>
      </c>
      <c r="Z195" s="191" t="s">
        <v>5</v>
      </c>
      <c r="AA195" s="191" t="s">
        <v>238</v>
      </c>
      <c r="AB195" s="191" t="s">
        <v>239</v>
      </c>
      <c r="AC195" s="195" t="s">
        <v>16</v>
      </c>
      <c r="AD195" s="196" t="s">
        <v>8</v>
      </c>
      <c r="AE195" s="191"/>
    </row>
    <row r="196" spans="1:31" ht="15" hidden="1" customHeight="1" outlineLevel="1" x14ac:dyDescent="0.3">
      <c r="A196" s="5" t="s">
        <v>376</v>
      </c>
      <c r="B196" s="279" t="e">
        <f>INDEX($L$3:$L$12, B194)</f>
        <v>#N/A</v>
      </c>
      <c r="C196" s="5"/>
      <c r="X196" s="162">
        <v>1</v>
      </c>
      <c r="Y196" s="162" t="str">
        <f>B209</f>
        <v>Фасад, Рамочный узкий профиль</v>
      </c>
      <c r="Z196" s="166" t="e">
        <f>D209</f>
        <v>#N/A</v>
      </c>
      <c r="AA196" s="192">
        <f>ROUNDUP(F209/5400*1.1*AD196, 2)</f>
        <v>0</v>
      </c>
      <c r="AB196" s="194"/>
      <c r="AC196" s="162" t="str">
        <f>B197&amp;"мм-"&amp;B199&amp;"шт"</f>
        <v>0мм-0шт</v>
      </c>
      <c r="AD196" s="310">
        <f>B199</f>
        <v>0</v>
      </c>
      <c r="AE196" s="197" t="s">
        <v>240</v>
      </c>
    </row>
    <row r="197" spans="1:31" ht="15" hidden="1" customHeight="1" outlineLevel="1" x14ac:dyDescent="0.3">
      <c r="A197" s="5" t="s">
        <v>4</v>
      </c>
      <c r="B197" s="279">
        <f>INDEX($R$3:$R$12, B194)</f>
        <v>0</v>
      </c>
      <c r="C197" s="5"/>
      <c r="X197" s="162">
        <v>2</v>
      </c>
      <c r="Y197" s="162" t="str">
        <f>B210</f>
        <v>Фасад, Рамочный узкий профиль</v>
      </c>
      <c r="Z197" s="166" t="e">
        <f>D210</f>
        <v>#N/A</v>
      </c>
      <c r="AA197" s="192">
        <f>ROUNDUP(F210/5400*1.1*AD197, 2)</f>
        <v>0</v>
      </c>
      <c r="AB197" s="162"/>
      <c r="AC197" s="162" t="str">
        <f>B198&amp;"мм-"&amp;B199&amp;"шт"</f>
        <v>0мм-0шт</v>
      </c>
      <c r="AD197" s="310">
        <f>B199</f>
        <v>0</v>
      </c>
      <c r="AE197" s="197" t="s">
        <v>240</v>
      </c>
    </row>
    <row r="198" spans="1:31" ht="15" hidden="1" customHeight="1" outlineLevel="1" x14ac:dyDescent="0.3">
      <c r="A198" s="5" t="s">
        <v>1</v>
      </c>
      <c r="B198" s="279">
        <f>INDEX($S$3:$S$12, B194)</f>
        <v>0</v>
      </c>
      <c r="D198" s="134"/>
      <c r="E198" s="124"/>
      <c r="F198" s="124"/>
      <c r="G198" s="124"/>
      <c r="X198" s="162">
        <v>3</v>
      </c>
      <c r="Y198" s="164" t="str">
        <f>B211</f>
        <v>Фасад, Рамочный узкий профиль</v>
      </c>
      <c r="Z198" s="193" t="e">
        <f>D211</f>
        <v>#N/A</v>
      </c>
      <c r="AA198" s="192">
        <f>ROUNDUP(F211/5400*1.1*AD198, 2)</f>
        <v>0</v>
      </c>
      <c r="AB198" s="164"/>
      <c r="AC198" s="162" t="str">
        <f>B197&amp;"мм-"&amp;B199&amp;"шт"</f>
        <v>0мм-0шт</v>
      </c>
      <c r="AD198" s="310">
        <f>B199</f>
        <v>0</v>
      </c>
      <c r="AE198" s="197" t="s">
        <v>240</v>
      </c>
    </row>
    <row r="199" spans="1:31" ht="15" hidden="1" customHeight="1" outlineLevel="1" x14ac:dyDescent="0.3">
      <c r="A199" s="39" t="s">
        <v>72</v>
      </c>
      <c r="B199" s="280">
        <f>INDEX($T$3:$T$12, B194)</f>
        <v>0</v>
      </c>
      <c r="C199" s="40"/>
      <c r="D199" s="40"/>
      <c r="E199" s="40"/>
      <c r="F199" s="271"/>
      <c r="G199" s="271"/>
      <c r="X199" s="162">
        <v>4</v>
      </c>
      <c r="Y199" s="164" t="str">
        <f>B212</f>
        <v>Фасад, Рамочный узкий профиль</v>
      </c>
      <c r="Z199" s="193" t="e">
        <f>D212</f>
        <v>#N/A</v>
      </c>
      <c r="AA199" s="192">
        <f>ROUNDUP(F212/5400*1.1*AD199, 2)</f>
        <v>0</v>
      </c>
      <c r="AB199" s="194"/>
      <c r="AC199" s="162" t="str">
        <f>B198&amp;"мм-"&amp;B199&amp;"шт"</f>
        <v>0мм-0шт</v>
      </c>
      <c r="AD199" s="310">
        <f>B199</f>
        <v>0</v>
      </c>
      <c r="AE199" s="197" t="s">
        <v>240</v>
      </c>
    </row>
    <row r="200" spans="1:31" ht="15" hidden="1" customHeight="1" outlineLevel="1" x14ac:dyDescent="0.3">
      <c r="A200" s="39" t="s">
        <v>360</v>
      </c>
      <c r="B200" s="269">
        <f>INDEX($M$3:$M$12, B194)</f>
        <v>0</v>
      </c>
      <c r="F200" s="124"/>
      <c r="G200" s="124"/>
      <c r="X200" s="162">
        <v>5</v>
      </c>
      <c r="Y200" s="164">
        <f>B200</f>
        <v>0</v>
      </c>
      <c r="Z200" s="164" t="str">
        <f>B201</f>
        <v>.</v>
      </c>
      <c r="AA200" s="309">
        <f>B199</f>
        <v>0</v>
      </c>
      <c r="AB200" s="164" t="str">
        <f>CONCATENATE("В ",B203,", ","Ш ",B204)</f>
        <v>В -6, Ш -6</v>
      </c>
      <c r="AC200" s="164"/>
      <c r="AD200" s="310">
        <f>B199</f>
        <v>0</v>
      </c>
      <c r="AE200" s="197" t="s">
        <v>278</v>
      </c>
    </row>
    <row r="201" spans="1:31" ht="15" hidden="1" customHeight="1" outlineLevel="1" x14ac:dyDescent="0.3">
      <c r="A201" s="39" t="s">
        <v>381</v>
      </c>
      <c r="B201" s="269" t="str">
        <f>IFERROR(INDEX($N$3:$N$12, B194),0)</f>
        <v>.</v>
      </c>
      <c r="F201" s="124"/>
      <c r="G201" s="124"/>
      <c r="X201" s="162">
        <v>6</v>
      </c>
      <c r="Y201" s="164" t="s">
        <v>242</v>
      </c>
      <c r="Z201" s="167" t="s">
        <v>243</v>
      </c>
      <c r="AA201" s="164">
        <f>IF(B197&gt;550,2*AD201,1*AD201)</f>
        <v>0</v>
      </c>
      <c r="AB201" s="164"/>
      <c r="AC201" s="164"/>
      <c r="AD201" s="310">
        <f>B199</f>
        <v>0</v>
      </c>
      <c r="AE201" s="197" t="s">
        <v>240</v>
      </c>
    </row>
    <row r="202" spans="1:31" ht="15" hidden="1" customHeight="1" outlineLevel="1" x14ac:dyDescent="0.3">
      <c r="A202" s="39" t="s">
        <v>398</v>
      </c>
      <c r="B202" s="281">
        <f>IFERROR(IF(B201=".", 0, VLOOKUP(B201, Ред!$B:$F, 4, 0)),0)</f>
        <v>0</v>
      </c>
      <c r="F202" s="124"/>
      <c r="G202" s="124"/>
      <c r="H202" s="124"/>
      <c r="X202" s="162">
        <v>7</v>
      </c>
      <c r="Y202" s="164" t="s">
        <v>244</v>
      </c>
      <c r="Z202" s="167" t="s">
        <v>245</v>
      </c>
      <c r="AA202" s="164">
        <f>(B197+B198)*2/1000*AD202</f>
        <v>0</v>
      </c>
      <c r="AB202" s="164"/>
      <c r="AC202" s="164"/>
      <c r="AD202" s="310">
        <f>B199</f>
        <v>0</v>
      </c>
      <c r="AE202" s="197" t="s">
        <v>240</v>
      </c>
    </row>
    <row r="203" spans="1:31" s="40" customFormat="1" ht="15" hidden="1" customHeight="1" outlineLevel="1" x14ac:dyDescent="0.3">
      <c r="A203" s="39" t="s">
        <v>399</v>
      </c>
      <c r="B203" s="282">
        <f>B197-6</f>
        <v>-6</v>
      </c>
      <c r="C203" s="39"/>
      <c r="D203" s="39"/>
      <c r="E203" s="39"/>
      <c r="F203" s="124"/>
      <c r="G203" s="124"/>
      <c r="X203" s="162">
        <v>8</v>
      </c>
      <c r="Y203" s="165" t="s">
        <v>246</v>
      </c>
      <c r="Z203" s="167" t="s">
        <v>247</v>
      </c>
      <c r="AA203" s="164">
        <f>0.02*AD203</f>
        <v>0</v>
      </c>
      <c r="AB203" s="164"/>
      <c r="AC203" s="164"/>
      <c r="AD203" s="310">
        <f>B199</f>
        <v>0</v>
      </c>
      <c r="AE203" s="197" t="s">
        <v>240</v>
      </c>
    </row>
    <row r="204" spans="1:31" ht="15" hidden="1" customHeight="1" outlineLevel="1" x14ac:dyDescent="0.3">
      <c r="A204" s="39" t="s">
        <v>400</v>
      </c>
      <c r="B204" s="282">
        <f>B198-6</f>
        <v>-6</v>
      </c>
      <c r="C204" s="5"/>
      <c r="D204" s="124"/>
      <c r="E204" s="124"/>
      <c r="F204" s="124"/>
      <c r="G204" s="124"/>
      <c r="H204" s="124"/>
      <c r="X204" s="162">
        <v>9</v>
      </c>
      <c r="Y204" s="164" t="s">
        <v>475</v>
      </c>
      <c r="Z204" s="167" t="s">
        <v>474</v>
      </c>
      <c r="AA204" s="193">
        <f>(((B198*2)/1000)+0.5)/66*B199</f>
        <v>0</v>
      </c>
      <c r="AB204" s="164"/>
      <c r="AC204" s="164"/>
      <c r="AD204" s="310">
        <f>B199</f>
        <v>0</v>
      </c>
      <c r="AE204" s="197" t="s">
        <v>240</v>
      </c>
    </row>
    <row r="205" spans="1:31" ht="15" hidden="1" customHeight="1" outlineLevel="1" x14ac:dyDescent="0.3">
      <c r="A205" s="39" t="s">
        <v>401</v>
      </c>
      <c r="B205" s="283">
        <f>B203*B204/1000000</f>
        <v>3.6000000000000001E-5</v>
      </c>
      <c r="C205" s="5"/>
      <c r="D205" s="124"/>
      <c r="E205" s="124"/>
      <c r="F205" s="124"/>
      <c r="G205" s="124"/>
      <c r="H205" s="124"/>
      <c r="X205" s="162">
        <v>10</v>
      </c>
      <c r="Y205" s="164" t="s">
        <v>248</v>
      </c>
      <c r="Z205" s="167" t="s">
        <v>249</v>
      </c>
      <c r="AA205" s="193">
        <f>((B198*8/1000)+0.5)/45*B199</f>
        <v>0</v>
      </c>
      <c r="AB205" s="164"/>
      <c r="AC205" s="164"/>
      <c r="AD205" s="310">
        <f>B199</f>
        <v>0</v>
      </c>
      <c r="AE205" s="197" t="s">
        <v>240</v>
      </c>
    </row>
    <row r="206" spans="1:31" ht="15" hidden="1" customHeight="1" outlineLevel="1" x14ac:dyDescent="0.3">
      <c r="A206" s="145" t="s">
        <v>402</v>
      </c>
      <c r="B206" s="284">
        <f>B202*B205*B199</f>
        <v>0</v>
      </c>
      <c r="H206" s="124"/>
      <c r="X206" s="188">
        <v>11</v>
      </c>
      <c r="Y206" s="189" t="s">
        <v>250</v>
      </c>
      <c r="Z206" s="190" t="s">
        <v>251</v>
      </c>
      <c r="AA206" s="189">
        <f>((B198*4/1000)+1)</f>
        <v>1</v>
      </c>
      <c r="AB206" s="189"/>
      <c r="AC206" s="189"/>
      <c r="AD206" s="311">
        <f>B199</f>
        <v>0</v>
      </c>
      <c r="AE206" s="197" t="s">
        <v>240</v>
      </c>
    </row>
    <row r="207" spans="1:31" ht="15" hidden="1" customHeight="1" outlineLevel="1" x14ac:dyDescent="0.3">
      <c r="A207" s="39" t="s">
        <v>576</v>
      </c>
      <c r="B207" s="356">
        <f>IFERROR(IF(D207,(B203+B204)/1000*2*F207*B199,0),0)</f>
        <v>0</v>
      </c>
      <c r="C207" s="39" t="s">
        <v>574</v>
      </c>
      <c r="D207" s="39">
        <f>IFERROR(INDEX(Вставки[Обработка],MATCH(B201,Вставки[арт],0)) = 1,0)</f>
        <v>0</v>
      </c>
      <c r="E207" s="39" t="s">
        <v>6</v>
      </c>
      <c r="F207" s="250">
        <f>Ред!$E$91</f>
        <v>198.79999999999998</v>
      </c>
      <c r="H207" s="124"/>
      <c r="X207" s="189">
        <v>12</v>
      </c>
      <c r="Y207" s="189" t="s">
        <v>279</v>
      </c>
      <c r="Z207" s="167" t="s">
        <v>280</v>
      </c>
      <c r="AA207" s="189">
        <v>1</v>
      </c>
      <c r="AB207" s="164"/>
      <c r="AC207" s="189"/>
      <c r="AD207" s="310">
        <v>1</v>
      </c>
      <c r="AE207" s="256" t="s">
        <v>240</v>
      </c>
    </row>
    <row r="208" spans="1:31" ht="15" hidden="1" customHeight="1" outlineLevel="1" x14ac:dyDescent="0.3">
      <c r="A208" s="5"/>
      <c r="B208" s="288" t="s">
        <v>15</v>
      </c>
      <c r="C208" s="289" t="s">
        <v>371</v>
      </c>
      <c r="D208" s="290" t="s">
        <v>5</v>
      </c>
      <c r="E208" s="290" t="s">
        <v>3</v>
      </c>
      <c r="F208" s="291" t="s">
        <v>380</v>
      </c>
      <c r="G208" s="291" t="s">
        <v>7</v>
      </c>
      <c r="H208" s="124"/>
      <c r="X208" s="162">
        <v>13</v>
      </c>
      <c r="Y208" s="49" t="e">
        <f>INDEX(Ред!$A:$A,MATCH(Z208,Ред!B:B,0))</f>
        <v>#N/A</v>
      </c>
      <c r="Z208" s="167">
        <f>B217</f>
        <v>0</v>
      </c>
      <c r="AA208" s="50">
        <f>D217</f>
        <v>0</v>
      </c>
      <c r="AB208" s="164"/>
      <c r="AC208" s="164"/>
      <c r="AD208" s="310">
        <f>AA208</f>
        <v>0</v>
      </c>
      <c r="AE208" s="164" t="s">
        <v>241</v>
      </c>
    </row>
    <row r="209" spans="1:31" ht="15" hidden="1" customHeight="1" outlineLevel="1" x14ac:dyDescent="0.3">
      <c r="A209" s="292" t="s">
        <v>104</v>
      </c>
      <c r="B209" s="49" t="str">
        <f>INDEX(ПрофилиАрт[полноенаим],MATCH(B195&amp;C209,ПрофилиАрт[поиск],0))</f>
        <v>Фасад, Рамочный узкий профиль</v>
      </c>
      <c r="C209" s="21" t="str">
        <f>IF(A209=INDEX($P$3:$P$12, B194), "Да", "Нет")</f>
        <v>Нет</v>
      </c>
      <c r="D209" s="48" t="e">
        <f>INDEX(ПрофилиАрт[], MATCH(B209, ПрофилиАрт[полноенаим], 0), MATCH(B196, ПрофилиАрт[#Headers], 0))</f>
        <v>#N/A</v>
      </c>
      <c r="E209" s="293" t="e">
        <f>VLOOKUP(D209, Ред!$B:$F, 4, 0)</f>
        <v>#N/A</v>
      </c>
      <c r="F209" s="48">
        <f>B197+IF(C209="Да", 200, 100)</f>
        <v>100</v>
      </c>
      <c r="G209" s="293" t="e">
        <f>E209/5400*F209*B199</f>
        <v>#N/A</v>
      </c>
      <c r="H209" s="124"/>
      <c r="X209" s="164">
        <v>14</v>
      </c>
      <c r="Y209" s="164" t="e">
        <f>INDEX(Ред!$A:$A,MATCH(Z209,Ред!B:B,0))</f>
        <v>#N/A</v>
      </c>
      <c r="Z209" s="167">
        <f>B218</f>
        <v>0</v>
      </c>
      <c r="AA209" s="193" t="e">
        <f>ROUNDUP(D218/2.6,1)</f>
        <v>#N/A</v>
      </c>
      <c r="AB209" s="164"/>
      <c r="AC209" s="164"/>
      <c r="AD209" s="310">
        <f>B199</f>
        <v>0</v>
      </c>
      <c r="AE209" s="164" t="s">
        <v>240</v>
      </c>
    </row>
    <row r="210" spans="1:31" ht="15" hidden="1" customHeight="1" outlineLevel="1" x14ac:dyDescent="0.3">
      <c r="A210" s="292" t="s">
        <v>210</v>
      </c>
      <c r="B210" s="49" t="str">
        <f>INDEX(ПрофилиАрт[полноенаим],MATCH(B195&amp;C210,ПрофилиАрт[поиск],0))</f>
        <v>Фасад, Рамочный узкий профиль</v>
      </c>
      <c r="C210" s="21" t="str">
        <f>IF(A210=INDEX($P$3:$P$12, B194), "Да", "Нет")</f>
        <v>Нет</v>
      </c>
      <c r="D210" s="48" t="e">
        <f>INDEX(ПрофилиАрт[], MATCH(B210, ПрофилиАрт[полноенаим], 0), MATCH(B196, ПрофилиАрт[#Headers], 0))</f>
        <v>#N/A</v>
      </c>
      <c r="E210" s="293" t="e">
        <f>VLOOKUP(D210, Ред!$B:$F, 4, 0)</f>
        <v>#N/A</v>
      </c>
      <c r="F210" s="48">
        <f>B198+IF(C210="Да", 200, 100)</f>
        <v>100</v>
      </c>
      <c r="G210" s="293" t="e">
        <f>E210/5400*F210*B199</f>
        <v>#N/A</v>
      </c>
      <c r="H210" s="124"/>
      <c r="X210" s="164">
        <v>15</v>
      </c>
      <c r="Y210" s="164" t="e">
        <f>INDEX(Ред!$A:$A,MATCH(Z210,Ред!B:B,0))</f>
        <v>#N/A</v>
      </c>
      <c r="Z210" s="164">
        <f>B216</f>
        <v>0</v>
      </c>
      <c r="AA210" s="309">
        <f>D216</f>
        <v>0</v>
      </c>
      <c r="AB210" s="164"/>
      <c r="AC210" s="164"/>
      <c r="AD210" s="310">
        <f>B199</f>
        <v>0</v>
      </c>
      <c r="AE210" s="164" t="s">
        <v>241</v>
      </c>
    </row>
    <row r="211" spans="1:31" ht="15" hidden="1" customHeight="1" outlineLevel="1" x14ac:dyDescent="0.3">
      <c r="A211" s="292" t="s">
        <v>230</v>
      </c>
      <c r="B211" s="49" t="str">
        <f>INDEX(ПрофилиАрт[полноенаим],MATCH(B195&amp;C211,ПрофилиАрт[поиск],0))</f>
        <v>Фасад, Рамочный узкий профиль</v>
      </c>
      <c r="C211" s="21" t="str">
        <f>IF(A211=INDEX($P$3:$P$12, B194), "Да", "Нет")</f>
        <v>Нет</v>
      </c>
      <c r="D211" s="48" t="e">
        <f>INDEX(ПрофилиАрт[], MATCH(B211, ПрофилиАрт[полноенаим], 0), MATCH(B196, ПрофилиАрт[#Headers], 0))</f>
        <v>#N/A</v>
      </c>
      <c r="E211" s="293" t="e">
        <f>VLOOKUP(D211, Ред!$B:$F, 4, 0)</f>
        <v>#N/A</v>
      </c>
      <c r="F211" s="48">
        <f>B197+IF(C211="Да", 200, 100)</f>
        <v>100</v>
      </c>
      <c r="G211" s="293" t="e">
        <f>E211/5400*F211*B199</f>
        <v>#N/A</v>
      </c>
      <c r="H211" s="124"/>
    </row>
    <row r="212" spans="1:31" ht="15" hidden="1" customHeight="1" outlineLevel="1" x14ac:dyDescent="0.3">
      <c r="A212" s="292" t="s">
        <v>211</v>
      </c>
      <c r="B212" s="49" t="str">
        <f>INDEX(ПрофилиАрт[полноенаим],MATCH(B195&amp;C212,ПрофилиАрт[поиск],0))</f>
        <v>Фасад, Рамочный узкий профиль</v>
      </c>
      <c r="C212" s="21" t="str">
        <f>IF(A212=INDEX($P$3:$P$12, B194), "Да", "Нет")</f>
        <v>Нет</v>
      </c>
      <c r="D212" s="48" t="e">
        <f>INDEX(ПрофилиАрт[], MATCH(B212, ПрофилиАрт[полноенаим], 0), MATCH(B196, ПрофилиАрт[#Headers], 0))</f>
        <v>#N/A</v>
      </c>
      <c r="E212" s="293" t="e">
        <f>VLOOKUP(D212, Ред!$B:$F, 4, 0)</f>
        <v>#N/A</v>
      </c>
      <c r="F212" s="48">
        <f>B198+IF(C212="Да", 200, 100)</f>
        <v>100</v>
      </c>
      <c r="G212" s="293" t="e">
        <f>E212/5400*F212*B199</f>
        <v>#N/A</v>
      </c>
      <c r="H212" s="124"/>
    </row>
    <row r="213" spans="1:31" ht="15" hidden="1" customHeight="1" outlineLevel="1" x14ac:dyDescent="0.3">
      <c r="H213" s="124"/>
    </row>
    <row r="214" spans="1:31" ht="15" hidden="1" customHeight="1" outlineLevel="1" thickBot="1" x14ac:dyDescent="0.35">
      <c r="A214" s="297" t="s">
        <v>241</v>
      </c>
      <c r="B214" s="298" t="s">
        <v>389</v>
      </c>
      <c r="C214" s="299">
        <f>INDEX($Q$3:$Q$12, B194)</f>
        <v>0</v>
      </c>
      <c r="H214" s="124"/>
    </row>
    <row r="215" spans="1:31" ht="15" hidden="1" customHeight="1" outlineLevel="1" x14ac:dyDescent="0.3">
      <c r="B215" s="296" t="s">
        <v>390</v>
      </c>
      <c r="C215" s="19" t="s">
        <v>6</v>
      </c>
      <c r="D215" s="48" t="s">
        <v>379</v>
      </c>
      <c r="E215" s="48" t="s">
        <v>270</v>
      </c>
      <c r="F215" s="124"/>
      <c r="G215" s="124"/>
      <c r="H215" s="124"/>
    </row>
    <row r="216" spans="1:31" ht="15" hidden="1" customHeight="1" outlineLevel="1" x14ac:dyDescent="0.3">
      <c r="A216" s="294" t="s">
        <v>382</v>
      </c>
      <c r="B216" s="295">
        <f>IFERROR(INDEX(Фурнитура[Петли], MATCH(C214,Фурнитура[Цвет петель], 0)),0)</f>
        <v>0</v>
      </c>
      <c r="C216" s="293">
        <f>IFERROR(VLOOKUP(B216, Ред!$B:$F, 4, 0),0)</f>
        <v>0</v>
      </c>
      <c r="D216" s="50">
        <f>IF(INDEX($U$3:$U$12, B194)=0, 0, B199)</f>
        <v>0</v>
      </c>
      <c r="E216" s="48">
        <f>C216*D216</f>
        <v>0</v>
      </c>
      <c r="F216" s="124"/>
      <c r="G216" s="124"/>
      <c r="H216" s="124"/>
    </row>
    <row r="217" spans="1:31" ht="15" hidden="1" customHeight="1" outlineLevel="1" x14ac:dyDescent="0.3">
      <c r="A217" s="294" t="s">
        <v>383</v>
      </c>
      <c r="B217" s="295">
        <f>IFERROR(INDEX(Фурнитура[Уголок], MATCH(C214,Фурнитура[Цвет петель], 0)),0)</f>
        <v>0</v>
      </c>
      <c r="C217" s="293">
        <f>IFERROR(IF(B217="Нет", 0, VLOOKUP(B217, Ред!$B:$F, 4, 0)),0)</f>
        <v>0</v>
      </c>
      <c r="D217" s="50">
        <f>B199</f>
        <v>0</v>
      </c>
      <c r="E217" s="48">
        <f t="shared" ref="E217:E218" si="7">C217*D217</f>
        <v>0</v>
      </c>
      <c r="H217" s="124"/>
    </row>
    <row r="218" spans="1:31" ht="15" hidden="1" customHeight="1" outlineLevel="1" x14ac:dyDescent="0.3">
      <c r="A218" s="294" t="s">
        <v>384</v>
      </c>
      <c r="B218" s="295">
        <f>IFERROR(INDEX(Фурнитура[Уплотнитель], MATCH(C214,Фурнитура[Цвет петель], 0)),0)</f>
        <v>0</v>
      </c>
      <c r="C218" s="293">
        <f>IFERROR(VLOOKUP(B218, Ред!$B:$F, 4, 0),0)</f>
        <v>0</v>
      </c>
      <c r="D218" s="48" t="e">
        <f>IF(B196="BM",(((B197+B198)*2*B199/1000)/1)*1.1,(((B197+B198)*2*B199/1000)/1)*1.1)</f>
        <v>#N/A</v>
      </c>
      <c r="E218" s="48" t="e">
        <f t="shared" si="7"/>
        <v>#N/A</v>
      </c>
      <c r="H218" s="124"/>
    </row>
    <row r="219" spans="1:31" ht="15" hidden="1" customHeight="1" outlineLevel="1" x14ac:dyDescent="0.3">
      <c r="A219" s="70" t="s">
        <v>97</v>
      </c>
      <c r="B219" s="300"/>
      <c r="C219" s="71"/>
      <c r="D219" s="301"/>
      <c r="E219" s="71">
        <v>413</v>
      </c>
      <c r="F219" s="124"/>
      <c r="G219" s="124"/>
      <c r="H219" s="124"/>
    </row>
    <row r="220" spans="1:31" ht="15" hidden="1" customHeight="1" outlineLevel="1" x14ac:dyDescent="0.3">
      <c r="A220" s="70" t="s">
        <v>98</v>
      </c>
      <c r="B220" s="71"/>
      <c r="C220" s="71"/>
      <c r="D220" s="71"/>
      <c r="E220" s="71">
        <v>413</v>
      </c>
      <c r="H220" s="124"/>
    </row>
    <row r="221" spans="1:31" ht="15" hidden="1" customHeight="1" outlineLevel="1" x14ac:dyDescent="0.3"/>
    <row r="222" spans="1:31" ht="15" hidden="1" customHeight="1" outlineLevel="1" thickBot="1" x14ac:dyDescent="0.35">
      <c r="A222" s="302" t="s">
        <v>395</v>
      </c>
      <c r="B222" s="285" t="e">
        <f>SUM(B206:B207, G209:G212, E216:E220)</f>
        <v>#N/A</v>
      </c>
      <c r="C222" s="5"/>
      <c r="F222" s="278"/>
    </row>
    <row r="223" spans="1:31" ht="15" hidden="1" customHeight="1" outlineLevel="1" thickTop="1" x14ac:dyDescent="0.3">
      <c r="A223" s="145"/>
      <c r="B223" s="134"/>
      <c r="D223" s="124"/>
      <c r="E223" s="124"/>
      <c r="F223" s="124"/>
      <c r="G223" s="124"/>
      <c r="H223" s="124"/>
    </row>
    <row r="224" spans="1:31" ht="15.6" hidden="1" outlineLevel="1" x14ac:dyDescent="0.3">
      <c r="A224" s="145"/>
      <c r="B224" s="134"/>
      <c r="C224" s="5"/>
    </row>
    <row r="225" spans="1:31" ht="16.2" hidden="1" outlineLevel="1" thickBot="1" x14ac:dyDescent="0.35">
      <c r="A225" s="145"/>
      <c r="B225" s="134"/>
      <c r="C225" s="5"/>
      <c r="X225" s="661" t="s">
        <v>255</v>
      </c>
      <c r="Y225" s="661"/>
      <c r="Z225" s="661"/>
      <c r="AA225" s="661"/>
      <c r="AB225" s="661"/>
      <c r="AC225" s="661"/>
      <c r="AD225" s="661"/>
      <c r="AE225" s="661"/>
    </row>
    <row r="226" spans="1:31" ht="15" customHeight="1" collapsed="1" thickTop="1" thickBot="1" x14ac:dyDescent="0.45">
      <c r="A226" s="286" t="s">
        <v>396</v>
      </c>
      <c r="B226" s="287">
        <v>8</v>
      </c>
      <c r="X226" s="147" t="s">
        <v>115</v>
      </c>
      <c r="Y226" s="147" t="s">
        <v>232</v>
      </c>
      <c r="Z226" s="147" t="s">
        <v>233</v>
      </c>
      <c r="AA226" s="163" t="s">
        <v>149</v>
      </c>
      <c r="AB226" s="147" t="s">
        <v>234</v>
      </c>
      <c r="AC226" s="147" t="s">
        <v>235</v>
      </c>
      <c r="AD226" s="148" t="s">
        <v>236</v>
      </c>
      <c r="AE226" s="147" t="s">
        <v>237</v>
      </c>
    </row>
    <row r="227" spans="1:31" ht="15" hidden="1" customHeight="1" outlineLevel="1" thickTop="1" x14ac:dyDescent="0.3">
      <c r="A227" s="134" t="s">
        <v>358</v>
      </c>
      <c r="B227" s="279" t="s">
        <v>365</v>
      </c>
      <c r="C227" s="5"/>
      <c r="X227" s="161"/>
      <c r="Y227" s="191" t="s">
        <v>15</v>
      </c>
      <c r="Z227" s="191" t="s">
        <v>5</v>
      </c>
      <c r="AA227" s="191" t="s">
        <v>238</v>
      </c>
      <c r="AB227" s="191" t="s">
        <v>239</v>
      </c>
      <c r="AC227" s="195" t="s">
        <v>16</v>
      </c>
      <c r="AD227" s="196" t="s">
        <v>8</v>
      </c>
      <c r="AE227" s="191"/>
    </row>
    <row r="228" spans="1:31" ht="15" hidden="1" customHeight="1" outlineLevel="1" x14ac:dyDescent="0.3">
      <c r="A228" s="5" t="s">
        <v>376</v>
      </c>
      <c r="B228" s="279" t="e">
        <f>INDEX($L$3:$L$12, B226)</f>
        <v>#N/A</v>
      </c>
      <c r="C228" s="5"/>
      <c r="X228" s="162">
        <v>1</v>
      </c>
      <c r="Y228" s="162" t="str">
        <f>B241</f>
        <v>Фасад, Рамочный узкий профиль</v>
      </c>
      <c r="Z228" s="166" t="e">
        <f>D241</f>
        <v>#N/A</v>
      </c>
      <c r="AA228" s="192">
        <f>ROUNDUP(F241/5400*1.1*AD228, 2)</f>
        <v>0</v>
      </c>
      <c r="AB228" s="194"/>
      <c r="AC228" s="162" t="str">
        <f>B229&amp;"мм-"&amp;B231&amp;"шт"</f>
        <v>0мм-0шт</v>
      </c>
      <c r="AD228" s="310">
        <f>B231</f>
        <v>0</v>
      </c>
      <c r="AE228" s="197" t="s">
        <v>240</v>
      </c>
    </row>
    <row r="229" spans="1:31" ht="15" hidden="1" customHeight="1" outlineLevel="1" x14ac:dyDescent="0.3">
      <c r="A229" s="5" t="s">
        <v>4</v>
      </c>
      <c r="B229" s="279">
        <f>INDEX($R$3:$R$12, B226)</f>
        <v>0</v>
      </c>
      <c r="C229" s="5"/>
      <c r="X229" s="162">
        <v>2</v>
      </c>
      <c r="Y229" s="162" t="str">
        <f>B242</f>
        <v>Фасад, Рамочный узкий профиль</v>
      </c>
      <c r="Z229" s="166" t="e">
        <f>D242</f>
        <v>#N/A</v>
      </c>
      <c r="AA229" s="192">
        <f>ROUNDUP(F242/5400*1.1*AD229, 2)</f>
        <v>0</v>
      </c>
      <c r="AB229" s="162"/>
      <c r="AC229" s="162" t="str">
        <f>B230&amp;"мм-"&amp;B231&amp;"шт"</f>
        <v>0мм-0шт</v>
      </c>
      <c r="AD229" s="310">
        <f>B231</f>
        <v>0</v>
      </c>
      <c r="AE229" s="197" t="s">
        <v>240</v>
      </c>
    </row>
    <row r="230" spans="1:31" ht="15" hidden="1" customHeight="1" outlineLevel="1" x14ac:dyDescent="0.3">
      <c r="A230" s="5" t="s">
        <v>1</v>
      </c>
      <c r="B230" s="279">
        <f>INDEX($S$3:$S$12, B226)</f>
        <v>0</v>
      </c>
      <c r="D230" s="134"/>
      <c r="E230" s="124"/>
      <c r="F230" s="124"/>
      <c r="G230" s="124"/>
      <c r="X230" s="162">
        <v>3</v>
      </c>
      <c r="Y230" s="164" t="str">
        <f>B243</f>
        <v>Фасад, Рамочный узкий профиль</v>
      </c>
      <c r="Z230" s="193" t="e">
        <f>D243</f>
        <v>#N/A</v>
      </c>
      <c r="AA230" s="192">
        <f>ROUNDUP(F243/5400*1.1*AD230, 2)</f>
        <v>0</v>
      </c>
      <c r="AB230" s="164"/>
      <c r="AC230" s="162" t="str">
        <f>B229&amp;"мм-"&amp;B231&amp;"шт"</f>
        <v>0мм-0шт</v>
      </c>
      <c r="AD230" s="310">
        <f>B231</f>
        <v>0</v>
      </c>
      <c r="AE230" s="197" t="s">
        <v>240</v>
      </c>
    </row>
    <row r="231" spans="1:31" ht="15" hidden="1" customHeight="1" outlineLevel="1" x14ac:dyDescent="0.3">
      <c r="A231" s="39" t="s">
        <v>72</v>
      </c>
      <c r="B231" s="280">
        <f>INDEX($T$3:$T$12, B226)</f>
        <v>0</v>
      </c>
      <c r="C231" s="40"/>
      <c r="D231" s="40"/>
      <c r="E231" s="40"/>
      <c r="F231" s="271"/>
      <c r="G231" s="271"/>
      <c r="X231" s="162">
        <v>4</v>
      </c>
      <c r="Y231" s="164" t="str">
        <f>B244</f>
        <v>Фасад, Рамочный узкий профиль</v>
      </c>
      <c r="Z231" s="193" t="e">
        <f>D244</f>
        <v>#N/A</v>
      </c>
      <c r="AA231" s="192">
        <f>ROUNDUP(F244/5400*1.1*AD231, 2)</f>
        <v>0</v>
      </c>
      <c r="AB231" s="194"/>
      <c r="AC231" s="162" t="str">
        <f>B230&amp;"мм-"&amp;B231&amp;"шт"</f>
        <v>0мм-0шт</v>
      </c>
      <c r="AD231" s="310">
        <f>B231</f>
        <v>0</v>
      </c>
      <c r="AE231" s="197" t="s">
        <v>240</v>
      </c>
    </row>
    <row r="232" spans="1:31" ht="15" hidden="1" customHeight="1" outlineLevel="1" x14ac:dyDescent="0.3">
      <c r="A232" s="39" t="s">
        <v>360</v>
      </c>
      <c r="B232" s="269">
        <f>INDEX($M$3:$M$12, B226)</f>
        <v>0</v>
      </c>
      <c r="F232" s="124"/>
      <c r="G232" s="124"/>
      <c r="X232" s="162">
        <v>5</v>
      </c>
      <c r="Y232" s="164">
        <f>B232</f>
        <v>0</v>
      </c>
      <c r="Z232" s="164" t="str">
        <f>B233</f>
        <v>.</v>
      </c>
      <c r="AA232" s="309">
        <f>B231</f>
        <v>0</v>
      </c>
      <c r="AB232" s="164" t="str">
        <f>CONCATENATE("В ",B235,", ","Ш ",B236)</f>
        <v>В -6, Ш -6</v>
      </c>
      <c r="AC232" s="164"/>
      <c r="AD232" s="310">
        <f>B231</f>
        <v>0</v>
      </c>
      <c r="AE232" s="197" t="s">
        <v>278</v>
      </c>
    </row>
    <row r="233" spans="1:31" ht="15" hidden="1" customHeight="1" outlineLevel="1" x14ac:dyDescent="0.3">
      <c r="A233" s="39" t="s">
        <v>381</v>
      </c>
      <c r="B233" s="269" t="str">
        <f>IFERROR(INDEX($N$3:$N$12, B226),0)</f>
        <v>.</v>
      </c>
      <c r="F233" s="124"/>
      <c r="G233" s="124"/>
      <c r="X233" s="162">
        <v>6</v>
      </c>
      <c r="Y233" s="164" t="s">
        <v>242</v>
      </c>
      <c r="Z233" s="167" t="s">
        <v>243</v>
      </c>
      <c r="AA233" s="164">
        <f>IF(B229&gt;550,2*AD233,1*AD233)</f>
        <v>0</v>
      </c>
      <c r="AB233" s="164"/>
      <c r="AC233" s="164"/>
      <c r="AD233" s="310">
        <f>B231</f>
        <v>0</v>
      </c>
      <c r="AE233" s="197" t="s">
        <v>240</v>
      </c>
    </row>
    <row r="234" spans="1:31" ht="15" hidden="1" customHeight="1" outlineLevel="1" x14ac:dyDescent="0.3">
      <c r="A234" s="39" t="s">
        <v>398</v>
      </c>
      <c r="B234" s="281">
        <f>IFERROR(IF(B233=".", 0, VLOOKUP(B233, Ред!$B:$F, 4, 0)),0)</f>
        <v>0</v>
      </c>
      <c r="F234" s="124"/>
      <c r="G234" s="124"/>
      <c r="H234" s="124"/>
      <c r="X234" s="162">
        <v>7</v>
      </c>
      <c r="Y234" s="164" t="s">
        <v>244</v>
      </c>
      <c r="Z234" s="167" t="s">
        <v>245</v>
      </c>
      <c r="AA234" s="164">
        <f>(B229+B230)*2/1000*AD234</f>
        <v>0</v>
      </c>
      <c r="AB234" s="164"/>
      <c r="AC234" s="164"/>
      <c r="AD234" s="310">
        <f>B231</f>
        <v>0</v>
      </c>
      <c r="AE234" s="197" t="s">
        <v>240</v>
      </c>
    </row>
    <row r="235" spans="1:31" s="40" customFormat="1" ht="15" hidden="1" customHeight="1" outlineLevel="1" x14ac:dyDescent="0.3">
      <c r="A235" s="39" t="s">
        <v>399</v>
      </c>
      <c r="B235" s="282">
        <f>B229-6</f>
        <v>-6</v>
      </c>
      <c r="C235" s="39"/>
      <c r="D235" s="39"/>
      <c r="E235" s="39"/>
      <c r="F235" s="124"/>
      <c r="G235" s="124"/>
      <c r="X235" s="162">
        <v>8</v>
      </c>
      <c r="Y235" s="165" t="s">
        <v>246</v>
      </c>
      <c r="Z235" s="167" t="s">
        <v>247</v>
      </c>
      <c r="AA235" s="164">
        <f>0.02*AD235</f>
        <v>0</v>
      </c>
      <c r="AB235" s="164"/>
      <c r="AC235" s="164"/>
      <c r="AD235" s="310">
        <f>B231</f>
        <v>0</v>
      </c>
      <c r="AE235" s="197" t="s">
        <v>240</v>
      </c>
    </row>
    <row r="236" spans="1:31" ht="15" hidden="1" customHeight="1" outlineLevel="1" x14ac:dyDescent="0.3">
      <c r="A236" s="39" t="s">
        <v>400</v>
      </c>
      <c r="B236" s="282">
        <f>B230-6</f>
        <v>-6</v>
      </c>
      <c r="C236" s="5"/>
      <c r="D236" s="124"/>
      <c r="E236" s="124"/>
      <c r="F236" s="124"/>
      <c r="G236" s="124"/>
      <c r="H236" s="124"/>
      <c r="X236" s="162">
        <v>9</v>
      </c>
      <c r="Y236" s="164" t="s">
        <v>475</v>
      </c>
      <c r="Z236" s="167" t="s">
        <v>474</v>
      </c>
      <c r="AA236" s="193">
        <f>(((B230*2)/1000)+0.5)/66*B231</f>
        <v>0</v>
      </c>
      <c r="AB236" s="164"/>
      <c r="AC236" s="164"/>
      <c r="AD236" s="310">
        <f>B231</f>
        <v>0</v>
      </c>
      <c r="AE236" s="197" t="s">
        <v>240</v>
      </c>
    </row>
    <row r="237" spans="1:31" ht="15" hidden="1" customHeight="1" outlineLevel="1" x14ac:dyDescent="0.3">
      <c r="A237" s="39" t="s">
        <v>401</v>
      </c>
      <c r="B237" s="283">
        <f>B235*B236/1000000</f>
        <v>3.6000000000000001E-5</v>
      </c>
      <c r="C237" s="5"/>
      <c r="D237" s="124"/>
      <c r="E237" s="124"/>
      <c r="F237" s="124"/>
      <c r="G237" s="124"/>
      <c r="H237" s="124"/>
      <c r="X237" s="162">
        <v>10</v>
      </c>
      <c r="Y237" s="164" t="s">
        <v>248</v>
      </c>
      <c r="Z237" s="167" t="s">
        <v>249</v>
      </c>
      <c r="AA237" s="193">
        <f>((B230*8/1000)+0.5)/45*B231</f>
        <v>0</v>
      </c>
      <c r="AB237" s="164"/>
      <c r="AC237" s="164"/>
      <c r="AD237" s="310">
        <f>B231</f>
        <v>0</v>
      </c>
      <c r="AE237" s="197" t="s">
        <v>240</v>
      </c>
    </row>
    <row r="238" spans="1:31" ht="15" hidden="1" customHeight="1" outlineLevel="1" x14ac:dyDescent="0.3">
      <c r="A238" s="145" t="s">
        <v>402</v>
      </c>
      <c r="B238" s="284">
        <f>B234*B237*B231</f>
        <v>0</v>
      </c>
      <c r="H238" s="124"/>
      <c r="X238" s="188">
        <v>11</v>
      </c>
      <c r="Y238" s="189" t="s">
        <v>250</v>
      </c>
      <c r="Z238" s="190" t="s">
        <v>251</v>
      </c>
      <c r="AA238" s="189">
        <f>((B230*4/1000)+1)</f>
        <v>1</v>
      </c>
      <c r="AB238" s="189"/>
      <c r="AC238" s="189"/>
      <c r="AD238" s="311">
        <f>B231</f>
        <v>0</v>
      </c>
      <c r="AE238" s="197" t="s">
        <v>240</v>
      </c>
    </row>
    <row r="239" spans="1:31" ht="15" hidden="1" customHeight="1" outlineLevel="1" x14ac:dyDescent="0.3">
      <c r="A239" s="39" t="s">
        <v>576</v>
      </c>
      <c r="B239" s="356">
        <f>IFERROR(IF(D239,(B235+B236)/1000*2*F239*B231,0),0)</f>
        <v>0</v>
      </c>
      <c r="C239" s="39" t="s">
        <v>574</v>
      </c>
      <c r="D239" s="39">
        <f>IFERROR(INDEX(Вставки[Обработка],MATCH(B233,Вставки[арт],0)) = 1,0)</f>
        <v>0</v>
      </c>
      <c r="E239" s="39" t="s">
        <v>6</v>
      </c>
      <c r="F239" s="250">
        <f>Ред!$E$91</f>
        <v>198.79999999999998</v>
      </c>
      <c r="H239" s="124"/>
      <c r="X239" s="189">
        <v>12</v>
      </c>
      <c r="Y239" s="189" t="s">
        <v>279</v>
      </c>
      <c r="Z239" s="167" t="s">
        <v>280</v>
      </c>
      <c r="AA239" s="189">
        <v>1</v>
      </c>
      <c r="AB239" s="164"/>
      <c r="AC239" s="189"/>
      <c r="AD239" s="310">
        <v>1</v>
      </c>
      <c r="AE239" s="256" t="s">
        <v>240</v>
      </c>
    </row>
    <row r="240" spans="1:31" ht="15" hidden="1" customHeight="1" outlineLevel="1" x14ac:dyDescent="0.3">
      <c r="A240" s="5"/>
      <c r="B240" s="288" t="s">
        <v>15</v>
      </c>
      <c r="C240" s="289" t="s">
        <v>371</v>
      </c>
      <c r="D240" s="290" t="s">
        <v>5</v>
      </c>
      <c r="E240" s="290" t="s">
        <v>3</v>
      </c>
      <c r="F240" s="291" t="s">
        <v>380</v>
      </c>
      <c r="G240" s="291" t="s">
        <v>7</v>
      </c>
      <c r="H240" s="124"/>
      <c r="X240" s="162">
        <v>13</v>
      </c>
      <c r="Y240" s="49" t="e">
        <f>INDEX(Ред!$A:$A,MATCH(Z240,Ред!B:B,0))</f>
        <v>#N/A</v>
      </c>
      <c r="Z240" s="167">
        <f>B249</f>
        <v>0</v>
      </c>
      <c r="AA240" s="50">
        <f>D249</f>
        <v>0</v>
      </c>
      <c r="AB240" s="164"/>
      <c r="AC240" s="164"/>
      <c r="AD240" s="310">
        <f>AA240</f>
        <v>0</v>
      </c>
      <c r="AE240" s="164" t="s">
        <v>241</v>
      </c>
    </row>
    <row r="241" spans="1:31" ht="15" hidden="1" customHeight="1" outlineLevel="1" x14ac:dyDescent="0.3">
      <c r="A241" s="292" t="s">
        <v>104</v>
      </c>
      <c r="B241" s="49" t="str">
        <f>INDEX(ПрофилиАрт[полноенаим],MATCH(B227&amp;C241,ПрофилиАрт[поиск],0))</f>
        <v>Фасад, Рамочный узкий профиль</v>
      </c>
      <c r="C241" s="21" t="str">
        <f>IF(A241=INDEX($P$3:$P$12, B226), "Да", "Нет")</f>
        <v>Нет</v>
      </c>
      <c r="D241" s="48" t="e">
        <f>INDEX(ПрофилиАрт[], MATCH(B241, ПрофилиАрт[полноенаим], 0), MATCH(B228, ПрофилиАрт[#Headers], 0))</f>
        <v>#N/A</v>
      </c>
      <c r="E241" s="293" t="e">
        <f>VLOOKUP(D241, Ред!$B:$F, 4, 0)</f>
        <v>#N/A</v>
      </c>
      <c r="F241" s="48">
        <f>B229+IF(C241="Да", 200, 100)</f>
        <v>100</v>
      </c>
      <c r="G241" s="293" t="e">
        <f>E241/5400*F241*B231</f>
        <v>#N/A</v>
      </c>
      <c r="H241" s="124"/>
      <c r="X241" s="164">
        <v>14</v>
      </c>
      <c r="Y241" s="164" t="e">
        <f>INDEX(Ред!$A:$A,MATCH(Z241,Ред!B:B,0))</f>
        <v>#N/A</v>
      </c>
      <c r="Z241" s="167">
        <f>B250</f>
        <v>0</v>
      </c>
      <c r="AA241" s="193" t="e">
        <f>ROUNDUP(D250/2.6,1)</f>
        <v>#N/A</v>
      </c>
      <c r="AB241" s="164"/>
      <c r="AC241" s="164"/>
      <c r="AD241" s="310">
        <f>B231</f>
        <v>0</v>
      </c>
      <c r="AE241" s="164" t="s">
        <v>240</v>
      </c>
    </row>
    <row r="242" spans="1:31" ht="15" hidden="1" customHeight="1" outlineLevel="1" x14ac:dyDescent="0.3">
      <c r="A242" s="292" t="s">
        <v>210</v>
      </c>
      <c r="B242" s="49" t="str">
        <f>INDEX(ПрофилиАрт[полноенаим],MATCH(B227&amp;C242,ПрофилиАрт[поиск],0))</f>
        <v>Фасад, Рамочный узкий профиль</v>
      </c>
      <c r="C242" s="21" t="str">
        <f>IF(A242=INDEX($P$3:$P$12, B226), "Да", "Нет")</f>
        <v>Нет</v>
      </c>
      <c r="D242" s="48" t="e">
        <f>INDEX(ПрофилиАрт[], MATCH(B242, ПрофилиАрт[полноенаим], 0), MATCH(B228, ПрофилиАрт[#Headers], 0))</f>
        <v>#N/A</v>
      </c>
      <c r="E242" s="293" t="e">
        <f>VLOOKUP(D242, Ред!$B:$F, 4, 0)</f>
        <v>#N/A</v>
      </c>
      <c r="F242" s="48">
        <f>B230+IF(C242="Да", 200, 100)</f>
        <v>100</v>
      </c>
      <c r="G242" s="293" t="e">
        <f>E242/5400*F242*B231</f>
        <v>#N/A</v>
      </c>
      <c r="H242" s="124"/>
      <c r="X242" s="164">
        <v>15</v>
      </c>
      <c r="Y242" s="164" t="e">
        <f>INDEX(Ред!$A:$A,MATCH(Z242,Ред!B:B,0))</f>
        <v>#N/A</v>
      </c>
      <c r="Z242" s="164">
        <f>B248</f>
        <v>0</v>
      </c>
      <c r="AA242" s="309">
        <f>D248</f>
        <v>0</v>
      </c>
      <c r="AB242" s="164"/>
      <c r="AC242" s="164"/>
      <c r="AD242" s="310">
        <f>B231</f>
        <v>0</v>
      </c>
      <c r="AE242" s="164" t="s">
        <v>241</v>
      </c>
    </row>
    <row r="243" spans="1:31" ht="15" hidden="1" customHeight="1" outlineLevel="1" x14ac:dyDescent="0.3">
      <c r="A243" s="292" t="s">
        <v>230</v>
      </c>
      <c r="B243" s="49" t="str">
        <f>INDEX(ПрофилиАрт[полноенаим],MATCH(B227&amp;C243,ПрофилиАрт[поиск],0))</f>
        <v>Фасад, Рамочный узкий профиль</v>
      </c>
      <c r="C243" s="21" t="str">
        <f>IF(A243=INDEX($P$3:$P$12, B226), "Да", "Нет")</f>
        <v>Нет</v>
      </c>
      <c r="D243" s="48" t="e">
        <f>INDEX(ПрофилиАрт[], MATCH(B243, ПрофилиАрт[полноенаим], 0), MATCH(B228, ПрофилиАрт[#Headers], 0))</f>
        <v>#N/A</v>
      </c>
      <c r="E243" s="293" t="e">
        <f>VLOOKUP(D243, Ред!$B:$F, 4, 0)</f>
        <v>#N/A</v>
      </c>
      <c r="F243" s="48">
        <f>B229+IF(C243="Да", 200, 100)</f>
        <v>100</v>
      </c>
      <c r="G243" s="293" t="e">
        <f>E243/5400*F243*B231</f>
        <v>#N/A</v>
      </c>
      <c r="H243" s="124"/>
    </row>
    <row r="244" spans="1:31" ht="15" hidden="1" customHeight="1" outlineLevel="1" x14ac:dyDescent="0.3">
      <c r="A244" s="292" t="s">
        <v>211</v>
      </c>
      <c r="B244" s="49" t="str">
        <f>INDEX(ПрофилиАрт[полноенаим],MATCH(B227&amp;C244,ПрофилиАрт[поиск],0))</f>
        <v>Фасад, Рамочный узкий профиль</v>
      </c>
      <c r="C244" s="21" t="str">
        <f>IF(A244=INDEX($P$3:$P$12, B226), "Да", "Нет")</f>
        <v>Нет</v>
      </c>
      <c r="D244" s="48" t="e">
        <f>INDEX(ПрофилиАрт[], MATCH(B244, ПрофилиАрт[полноенаим], 0), MATCH(B228, ПрофилиАрт[#Headers], 0))</f>
        <v>#N/A</v>
      </c>
      <c r="E244" s="293" t="e">
        <f>VLOOKUP(D244, Ред!$B:$F, 4, 0)</f>
        <v>#N/A</v>
      </c>
      <c r="F244" s="48">
        <f>B230+IF(C244="Да", 200, 100)</f>
        <v>100</v>
      </c>
      <c r="G244" s="293" t="e">
        <f>E244/5400*F244*B231</f>
        <v>#N/A</v>
      </c>
      <c r="H244" s="124"/>
    </row>
    <row r="245" spans="1:31" ht="15" hidden="1" customHeight="1" outlineLevel="1" x14ac:dyDescent="0.3">
      <c r="H245" s="124"/>
    </row>
    <row r="246" spans="1:31" ht="15" hidden="1" customHeight="1" outlineLevel="1" thickBot="1" x14ac:dyDescent="0.35">
      <c r="A246" s="297" t="s">
        <v>241</v>
      </c>
      <c r="B246" s="298" t="s">
        <v>389</v>
      </c>
      <c r="C246" s="299">
        <f>INDEX($Q$3:$Q$12, B226)</f>
        <v>0</v>
      </c>
      <c r="H246" s="124"/>
    </row>
    <row r="247" spans="1:31" ht="15" hidden="1" customHeight="1" outlineLevel="1" x14ac:dyDescent="0.3">
      <c r="B247" s="296" t="s">
        <v>390</v>
      </c>
      <c r="C247" s="19" t="s">
        <v>6</v>
      </c>
      <c r="D247" s="48" t="s">
        <v>379</v>
      </c>
      <c r="E247" s="48" t="s">
        <v>270</v>
      </c>
      <c r="F247" s="124"/>
      <c r="G247" s="124"/>
      <c r="H247" s="124"/>
    </row>
    <row r="248" spans="1:31" ht="15" hidden="1" customHeight="1" outlineLevel="1" x14ac:dyDescent="0.3">
      <c r="A248" s="294" t="s">
        <v>382</v>
      </c>
      <c r="B248" s="295">
        <f>IFERROR(INDEX(Фурнитура[Петли], MATCH(C246,Фурнитура[Цвет петель], 0)),0)</f>
        <v>0</v>
      </c>
      <c r="C248" s="293">
        <f>IFERROR(VLOOKUP(B248, Ред!$B:$F, 4, 0),0)</f>
        <v>0</v>
      </c>
      <c r="D248" s="50">
        <f>IF(INDEX($U$3:$U$12, B226)=0, 0, B231)</f>
        <v>0</v>
      </c>
      <c r="E248" s="48">
        <f>C248*D248</f>
        <v>0</v>
      </c>
      <c r="F248" s="124"/>
      <c r="G248" s="124"/>
      <c r="H248" s="124"/>
    </row>
    <row r="249" spans="1:31" ht="15" hidden="1" customHeight="1" outlineLevel="1" x14ac:dyDescent="0.3">
      <c r="A249" s="294" t="s">
        <v>383</v>
      </c>
      <c r="B249" s="295">
        <f>IFERROR(INDEX(Фурнитура[Уголок], MATCH(C246,Фурнитура[Цвет петель], 0)),0)</f>
        <v>0</v>
      </c>
      <c r="C249" s="293">
        <f>IFERROR(IF(B249="Нет", 0, VLOOKUP(B249, Ред!$B:$F, 4, 0)),0)</f>
        <v>0</v>
      </c>
      <c r="D249" s="50">
        <f>B231</f>
        <v>0</v>
      </c>
      <c r="E249" s="48">
        <f t="shared" ref="E249:E250" si="8">C249*D249</f>
        <v>0</v>
      </c>
      <c r="H249" s="124"/>
    </row>
    <row r="250" spans="1:31" ht="15" hidden="1" customHeight="1" outlineLevel="1" x14ac:dyDescent="0.3">
      <c r="A250" s="294" t="s">
        <v>384</v>
      </c>
      <c r="B250" s="295">
        <f>IFERROR(INDEX(Фурнитура[Уплотнитель], MATCH(C246,Фурнитура[Цвет петель], 0)),0)</f>
        <v>0</v>
      </c>
      <c r="C250" s="293">
        <f>IFERROR(VLOOKUP(B250, Ред!$B:$F, 4, 0),0)</f>
        <v>0</v>
      </c>
      <c r="D250" s="48" t="e">
        <f>IF(B228="BM",(((B229+B230)*2*B231/1000)/1)*1.1,(((B229+B230)*2*B231/1000)/1)*1.1)</f>
        <v>#N/A</v>
      </c>
      <c r="E250" s="48" t="e">
        <f t="shared" si="8"/>
        <v>#N/A</v>
      </c>
      <c r="H250" s="124"/>
    </row>
    <row r="251" spans="1:31" ht="15" hidden="1" customHeight="1" outlineLevel="1" x14ac:dyDescent="0.3">
      <c r="A251" s="70" t="s">
        <v>97</v>
      </c>
      <c r="B251" s="300"/>
      <c r="C251" s="71"/>
      <c r="D251" s="301"/>
      <c r="E251" s="71">
        <v>413</v>
      </c>
      <c r="F251" s="124"/>
      <c r="G251" s="124"/>
      <c r="H251" s="124"/>
    </row>
    <row r="252" spans="1:31" ht="15" hidden="1" customHeight="1" outlineLevel="1" x14ac:dyDescent="0.3">
      <c r="A252" s="70" t="s">
        <v>98</v>
      </c>
      <c r="B252" s="71"/>
      <c r="C252" s="71"/>
      <c r="D252" s="71"/>
      <c r="E252" s="71">
        <v>413</v>
      </c>
      <c r="H252" s="124"/>
    </row>
    <row r="253" spans="1:31" ht="15" hidden="1" customHeight="1" outlineLevel="1" x14ac:dyDescent="0.3"/>
    <row r="254" spans="1:31" ht="15" hidden="1" customHeight="1" outlineLevel="1" thickBot="1" x14ac:dyDescent="0.35">
      <c r="A254" s="302" t="s">
        <v>395</v>
      </c>
      <c r="B254" s="285" t="e">
        <f>SUM(B238:B239, G241:G244, E248:E252)</f>
        <v>#N/A</v>
      </c>
      <c r="C254" s="5"/>
      <c r="F254" s="278"/>
    </row>
    <row r="255" spans="1:31" ht="15" hidden="1" customHeight="1" outlineLevel="1" thickTop="1" x14ac:dyDescent="0.3">
      <c r="A255" s="145"/>
      <c r="B255" s="134"/>
      <c r="D255" s="124"/>
      <c r="E255" s="124"/>
      <c r="F255" s="124"/>
      <c r="G255" s="124"/>
      <c r="H255" s="124"/>
    </row>
    <row r="256" spans="1:31" ht="15.6" hidden="1" outlineLevel="1" x14ac:dyDescent="0.3">
      <c r="A256" s="145"/>
      <c r="B256" s="134"/>
      <c r="C256" s="5"/>
    </row>
    <row r="257" spans="1:31" ht="16.2" hidden="1" outlineLevel="1" thickBot="1" x14ac:dyDescent="0.35">
      <c r="A257" s="145"/>
      <c r="B257" s="134"/>
      <c r="C257" s="5"/>
      <c r="X257" s="661" t="s">
        <v>254</v>
      </c>
      <c r="Y257" s="661"/>
      <c r="Z257" s="661"/>
      <c r="AA257" s="661"/>
      <c r="AB257" s="661"/>
      <c r="AC257" s="661"/>
      <c r="AD257" s="661"/>
      <c r="AE257" s="661"/>
    </row>
    <row r="258" spans="1:31" ht="15" customHeight="1" collapsed="1" thickTop="1" thickBot="1" x14ac:dyDescent="0.45">
      <c r="A258" s="286" t="s">
        <v>396</v>
      </c>
      <c r="B258" s="287">
        <v>9</v>
      </c>
      <c r="X258" s="147" t="s">
        <v>115</v>
      </c>
      <c r="Y258" s="147" t="s">
        <v>232</v>
      </c>
      <c r="Z258" s="147" t="s">
        <v>233</v>
      </c>
      <c r="AA258" s="163" t="s">
        <v>149</v>
      </c>
      <c r="AB258" s="147" t="s">
        <v>234</v>
      </c>
      <c r="AC258" s="147" t="s">
        <v>235</v>
      </c>
      <c r="AD258" s="148" t="s">
        <v>236</v>
      </c>
      <c r="AE258" s="147" t="s">
        <v>237</v>
      </c>
    </row>
    <row r="259" spans="1:31" ht="15" hidden="1" customHeight="1" outlineLevel="1" thickTop="1" x14ac:dyDescent="0.3">
      <c r="A259" s="134" t="s">
        <v>358</v>
      </c>
      <c r="B259" s="279" t="s">
        <v>365</v>
      </c>
      <c r="C259" s="5"/>
      <c r="X259" s="161"/>
      <c r="Y259" s="191" t="s">
        <v>15</v>
      </c>
      <c r="Z259" s="191" t="s">
        <v>5</v>
      </c>
      <c r="AA259" s="191" t="s">
        <v>238</v>
      </c>
      <c r="AB259" s="191" t="s">
        <v>239</v>
      </c>
      <c r="AC259" s="195" t="s">
        <v>16</v>
      </c>
      <c r="AD259" s="196" t="s">
        <v>8</v>
      </c>
      <c r="AE259" s="191"/>
    </row>
    <row r="260" spans="1:31" ht="15" hidden="1" customHeight="1" outlineLevel="1" x14ac:dyDescent="0.3">
      <c r="A260" s="5" t="s">
        <v>376</v>
      </c>
      <c r="B260" s="279" t="e">
        <f>INDEX($L$3:$L$12, B258)</f>
        <v>#N/A</v>
      </c>
      <c r="C260" s="5"/>
      <c r="X260" s="162">
        <v>1</v>
      </c>
      <c r="Y260" s="162" t="str">
        <f>B273</f>
        <v>Фасад, Рамочный узкий профиль</v>
      </c>
      <c r="Z260" s="166" t="e">
        <f>D273</f>
        <v>#N/A</v>
      </c>
      <c r="AA260" s="192">
        <f>ROUNDUP(F273/5400*1.1*AD260, 2)</f>
        <v>0</v>
      </c>
      <c r="AB260" s="194"/>
      <c r="AC260" s="162" t="str">
        <f>B261&amp;"мм-"&amp;B263&amp;"шт"</f>
        <v>0мм-0шт</v>
      </c>
      <c r="AD260" s="310">
        <f>B263</f>
        <v>0</v>
      </c>
      <c r="AE260" s="197" t="s">
        <v>240</v>
      </c>
    </row>
    <row r="261" spans="1:31" ht="15" hidden="1" customHeight="1" outlineLevel="1" x14ac:dyDescent="0.3">
      <c r="A261" s="5" t="s">
        <v>4</v>
      </c>
      <c r="B261" s="279">
        <f>INDEX($R$3:$R$12, B258)</f>
        <v>0</v>
      </c>
      <c r="C261" s="5"/>
      <c r="X261" s="162">
        <v>2</v>
      </c>
      <c r="Y261" s="162" t="str">
        <f>B274</f>
        <v>Фасад, Рамочный узкий профиль</v>
      </c>
      <c r="Z261" s="166" t="e">
        <f>D274</f>
        <v>#N/A</v>
      </c>
      <c r="AA261" s="192">
        <f>ROUNDUP(F274/5400*1.1*AD261, 2)</f>
        <v>0</v>
      </c>
      <c r="AB261" s="162"/>
      <c r="AC261" s="162" t="str">
        <f>B262&amp;"мм-"&amp;B263&amp;"шт"</f>
        <v>0мм-0шт</v>
      </c>
      <c r="AD261" s="310">
        <f>B263</f>
        <v>0</v>
      </c>
      <c r="AE261" s="197" t="s">
        <v>240</v>
      </c>
    </row>
    <row r="262" spans="1:31" ht="15" hidden="1" customHeight="1" outlineLevel="1" x14ac:dyDescent="0.3">
      <c r="A262" s="5" t="s">
        <v>1</v>
      </c>
      <c r="B262" s="279">
        <f>INDEX($S$3:$S$12, B258)</f>
        <v>0</v>
      </c>
      <c r="D262" s="134"/>
      <c r="E262" s="124"/>
      <c r="F262" s="124"/>
      <c r="G262" s="124"/>
      <c r="X262" s="162">
        <v>3</v>
      </c>
      <c r="Y262" s="164" t="str">
        <f>B275</f>
        <v>Фасад, Рамочный узкий профиль</v>
      </c>
      <c r="Z262" s="193" t="e">
        <f>D275</f>
        <v>#N/A</v>
      </c>
      <c r="AA262" s="192">
        <f>ROUNDUP(F275/5400*1.1*AD262, 2)</f>
        <v>0</v>
      </c>
      <c r="AB262" s="164"/>
      <c r="AC262" s="162" t="str">
        <f>B261&amp;"мм-"&amp;B263&amp;"шт"</f>
        <v>0мм-0шт</v>
      </c>
      <c r="AD262" s="310">
        <f>B263</f>
        <v>0</v>
      </c>
      <c r="AE262" s="197" t="s">
        <v>240</v>
      </c>
    </row>
    <row r="263" spans="1:31" ht="15" hidden="1" customHeight="1" outlineLevel="1" x14ac:dyDescent="0.3">
      <c r="A263" s="39" t="s">
        <v>72</v>
      </c>
      <c r="B263" s="280">
        <f>INDEX($T$3:$T$12, B258)</f>
        <v>0</v>
      </c>
      <c r="C263" s="40"/>
      <c r="D263" s="40"/>
      <c r="E263" s="40"/>
      <c r="F263" s="271"/>
      <c r="G263" s="271"/>
      <c r="X263" s="162">
        <v>4</v>
      </c>
      <c r="Y263" s="164" t="str">
        <f>B276</f>
        <v>Фасад, Рамочный узкий профиль</v>
      </c>
      <c r="Z263" s="193" t="e">
        <f>D276</f>
        <v>#N/A</v>
      </c>
      <c r="AA263" s="192">
        <f>ROUNDUP(F276/5400*1.1*AD263, 2)</f>
        <v>0</v>
      </c>
      <c r="AB263" s="194"/>
      <c r="AC263" s="162" t="str">
        <f>B262&amp;"мм-"&amp;B263&amp;"шт"</f>
        <v>0мм-0шт</v>
      </c>
      <c r="AD263" s="310">
        <f>B263</f>
        <v>0</v>
      </c>
      <c r="AE263" s="197" t="s">
        <v>240</v>
      </c>
    </row>
    <row r="264" spans="1:31" ht="15" hidden="1" customHeight="1" outlineLevel="1" x14ac:dyDescent="0.3">
      <c r="A264" s="39" t="s">
        <v>360</v>
      </c>
      <c r="B264" s="269">
        <f>INDEX($M$3:$M$12, B258)</f>
        <v>0</v>
      </c>
      <c r="F264" s="124"/>
      <c r="G264" s="124"/>
      <c r="X264" s="162">
        <v>5</v>
      </c>
      <c r="Y264" s="164">
        <f>B264</f>
        <v>0</v>
      </c>
      <c r="Z264" s="164" t="str">
        <f>B265</f>
        <v>.</v>
      </c>
      <c r="AA264" s="309">
        <f>B263</f>
        <v>0</v>
      </c>
      <c r="AB264" s="164" t="str">
        <f>CONCATENATE("В ",B267,", ","Ш ",B268)</f>
        <v>В -6, Ш -6</v>
      </c>
      <c r="AC264" s="164"/>
      <c r="AD264" s="310">
        <f>B263</f>
        <v>0</v>
      </c>
      <c r="AE264" s="197" t="s">
        <v>278</v>
      </c>
    </row>
    <row r="265" spans="1:31" ht="15" hidden="1" customHeight="1" outlineLevel="1" x14ac:dyDescent="0.3">
      <c r="A265" s="39" t="s">
        <v>381</v>
      </c>
      <c r="B265" s="269" t="str">
        <f>IFERROR(INDEX($N$3:$N$12, B258),0)</f>
        <v>.</v>
      </c>
      <c r="F265" s="124"/>
      <c r="G265" s="124"/>
      <c r="X265" s="162">
        <v>6</v>
      </c>
      <c r="Y265" s="164" t="s">
        <v>242</v>
      </c>
      <c r="Z265" s="167" t="s">
        <v>243</v>
      </c>
      <c r="AA265" s="164">
        <f>IF(B261&gt;550,2*AD265,1*AD265)</f>
        <v>0</v>
      </c>
      <c r="AB265" s="164"/>
      <c r="AC265" s="164"/>
      <c r="AD265" s="310">
        <f>B263</f>
        <v>0</v>
      </c>
      <c r="AE265" s="197" t="s">
        <v>240</v>
      </c>
    </row>
    <row r="266" spans="1:31" ht="15" hidden="1" customHeight="1" outlineLevel="1" x14ac:dyDescent="0.3">
      <c r="A266" s="39" t="s">
        <v>398</v>
      </c>
      <c r="B266" s="281">
        <f>IFERROR(IF(B265=".", 0, VLOOKUP(B265, Ред!$B:$F, 4, 0)),0)</f>
        <v>0</v>
      </c>
      <c r="F266" s="124"/>
      <c r="G266" s="124"/>
      <c r="H266" s="124"/>
      <c r="X266" s="162">
        <v>7</v>
      </c>
      <c r="Y266" s="164" t="s">
        <v>244</v>
      </c>
      <c r="Z266" s="167" t="s">
        <v>245</v>
      </c>
      <c r="AA266" s="164">
        <f>(B261+B262)*2/1000*AD266</f>
        <v>0</v>
      </c>
      <c r="AB266" s="164"/>
      <c r="AC266" s="164"/>
      <c r="AD266" s="310">
        <f>B263</f>
        <v>0</v>
      </c>
      <c r="AE266" s="197" t="s">
        <v>240</v>
      </c>
    </row>
    <row r="267" spans="1:31" s="40" customFormat="1" ht="15" hidden="1" customHeight="1" outlineLevel="1" x14ac:dyDescent="0.3">
      <c r="A267" s="39" t="s">
        <v>399</v>
      </c>
      <c r="B267" s="282">
        <f>B261-6</f>
        <v>-6</v>
      </c>
      <c r="C267" s="39"/>
      <c r="D267" s="39"/>
      <c r="E267" s="39"/>
      <c r="F267" s="124"/>
      <c r="G267" s="124"/>
      <c r="X267" s="162">
        <v>8</v>
      </c>
      <c r="Y267" s="165" t="s">
        <v>246</v>
      </c>
      <c r="Z267" s="167" t="s">
        <v>247</v>
      </c>
      <c r="AA267" s="164">
        <f>0.02*AD267</f>
        <v>0</v>
      </c>
      <c r="AB267" s="164"/>
      <c r="AC267" s="164"/>
      <c r="AD267" s="310">
        <f>B263</f>
        <v>0</v>
      </c>
      <c r="AE267" s="197" t="s">
        <v>240</v>
      </c>
    </row>
    <row r="268" spans="1:31" ht="15" hidden="1" customHeight="1" outlineLevel="1" x14ac:dyDescent="0.3">
      <c r="A268" s="39" t="s">
        <v>400</v>
      </c>
      <c r="B268" s="282">
        <f>B262-6</f>
        <v>-6</v>
      </c>
      <c r="C268" s="5"/>
      <c r="D268" s="124"/>
      <c r="E268" s="124"/>
      <c r="F268" s="124"/>
      <c r="G268" s="124"/>
      <c r="H268" s="124"/>
      <c r="X268" s="162">
        <v>9</v>
      </c>
      <c r="Y268" s="164" t="s">
        <v>475</v>
      </c>
      <c r="Z268" s="167" t="s">
        <v>474</v>
      </c>
      <c r="AA268" s="193">
        <f>(((B262*2)/1000)+0.5)/66*B263</f>
        <v>0</v>
      </c>
      <c r="AB268" s="164"/>
      <c r="AC268" s="164"/>
      <c r="AD268" s="310">
        <f>B263</f>
        <v>0</v>
      </c>
      <c r="AE268" s="197" t="s">
        <v>240</v>
      </c>
    </row>
    <row r="269" spans="1:31" ht="15" hidden="1" customHeight="1" outlineLevel="1" x14ac:dyDescent="0.3">
      <c r="A269" s="39" t="s">
        <v>401</v>
      </c>
      <c r="B269" s="283">
        <f>B267*B268/1000000</f>
        <v>3.6000000000000001E-5</v>
      </c>
      <c r="C269" s="5"/>
      <c r="D269" s="124"/>
      <c r="E269" s="124"/>
      <c r="F269" s="124"/>
      <c r="G269" s="124"/>
      <c r="H269" s="124"/>
      <c r="X269" s="162">
        <v>10</v>
      </c>
      <c r="Y269" s="164" t="s">
        <v>248</v>
      </c>
      <c r="Z269" s="167" t="s">
        <v>249</v>
      </c>
      <c r="AA269" s="193">
        <f>((B262*8/1000)+0.5)/45*B263</f>
        <v>0</v>
      </c>
      <c r="AB269" s="164"/>
      <c r="AC269" s="164"/>
      <c r="AD269" s="310">
        <f>B263</f>
        <v>0</v>
      </c>
      <c r="AE269" s="197" t="s">
        <v>240</v>
      </c>
    </row>
    <row r="270" spans="1:31" ht="15" hidden="1" customHeight="1" outlineLevel="1" x14ac:dyDescent="0.3">
      <c r="A270" s="145" t="s">
        <v>402</v>
      </c>
      <c r="B270" s="284">
        <f>B266*B269*B263</f>
        <v>0</v>
      </c>
      <c r="H270" s="124"/>
      <c r="X270" s="188">
        <v>11</v>
      </c>
      <c r="Y270" s="189" t="s">
        <v>250</v>
      </c>
      <c r="Z270" s="190" t="s">
        <v>251</v>
      </c>
      <c r="AA270" s="189">
        <f>((B262*4/1000)+1)</f>
        <v>1</v>
      </c>
      <c r="AB270" s="189"/>
      <c r="AC270" s="189"/>
      <c r="AD270" s="311">
        <f>B263</f>
        <v>0</v>
      </c>
      <c r="AE270" s="197" t="s">
        <v>240</v>
      </c>
    </row>
    <row r="271" spans="1:31" ht="15" hidden="1" customHeight="1" outlineLevel="1" x14ac:dyDescent="0.3">
      <c r="A271" s="39" t="s">
        <v>576</v>
      </c>
      <c r="B271" s="356">
        <f>IFERROR(IF(D271,(B267+B268)/1000*2*F271*B263,0),0)</f>
        <v>0</v>
      </c>
      <c r="C271" s="39" t="s">
        <v>574</v>
      </c>
      <c r="D271" s="39">
        <f>IFERROR(INDEX(Вставки[Обработка],MATCH(B265,Вставки[арт],0)) = 1,0)</f>
        <v>0</v>
      </c>
      <c r="E271" s="39" t="s">
        <v>6</v>
      </c>
      <c r="F271" s="250">
        <f>Ред!$E$91</f>
        <v>198.79999999999998</v>
      </c>
      <c r="H271" s="124"/>
      <c r="X271" s="189">
        <v>12</v>
      </c>
      <c r="Y271" s="189" t="s">
        <v>279</v>
      </c>
      <c r="Z271" s="167" t="s">
        <v>280</v>
      </c>
      <c r="AA271" s="189">
        <v>1</v>
      </c>
      <c r="AB271" s="164"/>
      <c r="AC271" s="189"/>
      <c r="AD271" s="310">
        <v>1</v>
      </c>
      <c r="AE271" s="256" t="s">
        <v>240</v>
      </c>
    </row>
    <row r="272" spans="1:31" ht="15" hidden="1" customHeight="1" outlineLevel="1" x14ac:dyDescent="0.3">
      <c r="A272" s="5"/>
      <c r="B272" s="288" t="s">
        <v>15</v>
      </c>
      <c r="C272" s="289" t="s">
        <v>371</v>
      </c>
      <c r="D272" s="290" t="s">
        <v>5</v>
      </c>
      <c r="E272" s="290" t="s">
        <v>3</v>
      </c>
      <c r="F272" s="291" t="s">
        <v>380</v>
      </c>
      <c r="G272" s="291" t="s">
        <v>7</v>
      </c>
      <c r="H272" s="124"/>
      <c r="X272" s="162">
        <v>13</v>
      </c>
      <c r="Y272" s="49" t="e">
        <f>INDEX(Ред!$A:$A,MATCH(Z272,Ред!B:B,0))</f>
        <v>#N/A</v>
      </c>
      <c r="Z272" s="167">
        <f>B281</f>
        <v>0</v>
      </c>
      <c r="AA272" s="50">
        <f>D281</f>
        <v>0</v>
      </c>
      <c r="AB272" s="164"/>
      <c r="AC272" s="164"/>
      <c r="AD272" s="310">
        <f>AA272</f>
        <v>0</v>
      </c>
      <c r="AE272" s="164" t="s">
        <v>241</v>
      </c>
    </row>
    <row r="273" spans="1:31" ht="15" hidden="1" customHeight="1" outlineLevel="1" x14ac:dyDescent="0.3">
      <c r="A273" s="292" t="s">
        <v>104</v>
      </c>
      <c r="B273" s="49" t="str">
        <f>INDEX(ПрофилиАрт[полноенаим],MATCH(B259&amp;C273,ПрофилиАрт[поиск],0))</f>
        <v>Фасад, Рамочный узкий профиль</v>
      </c>
      <c r="C273" s="21" t="str">
        <f>IF(A273=INDEX($P$3:$P$12, B258), "Да", "Нет")</f>
        <v>Нет</v>
      </c>
      <c r="D273" s="48" t="e">
        <f>INDEX(ПрофилиАрт[], MATCH(B273, ПрофилиАрт[полноенаим], 0), MATCH(B260, ПрофилиАрт[#Headers], 0))</f>
        <v>#N/A</v>
      </c>
      <c r="E273" s="293" t="e">
        <f>VLOOKUP(D273, Ред!$B:$F, 4, 0)</f>
        <v>#N/A</v>
      </c>
      <c r="F273" s="48">
        <f>B261+IF(C273="Да", 200, 100)</f>
        <v>100</v>
      </c>
      <c r="G273" s="293" t="e">
        <f>E273/5400*F273*B263</f>
        <v>#N/A</v>
      </c>
      <c r="H273" s="124"/>
      <c r="X273" s="164">
        <v>14</v>
      </c>
      <c r="Y273" s="164" t="e">
        <f>INDEX(Ред!$A:$A,MATCH(Z273,Ред!B:B,0))</f>
        <v>#N/A</v>
      </c>
      <c r="Z273" s="167">
        <f>B282</f>
        <v>0</v>
      </c>
      <c r="AA273" s="193" t="e">
        <f>ROUNDUP(D282/2.6,1)</f>
        <v>#N/A</v>
      </c>
      <c r="AB273" s="164"/>
      <c r="AC273" s="164"/>
      <c r="AD273" s="310">
        <f>B263</f>
        <v>0</v>
      </c>
      <c r="AE273" s="164" t="s">
        <v>240</v>
      </c>
    </row>
    <row r="274" spans="1:31" ht="15" hidden="1" customHeight="1" outlineLevel="1" x14ac:dyDescent="0.3">
      <c r="A274" s="292" t="s">
        <v>210</v>
      </c>
      <c r="B274" s="49" t="str">
        <f>INDEX(ПрофилиАрт[полноенаим],MATCH(B259&amp;C274,ПрофилиАрт[поиск],0))</f>
        <v>Фасад, Рамочный узкий профиль</v>
      </c>
      <c r="C274" s="21" t="str">
        <f>IF(A274=INDEX($P$3:$P$12, B258), "Да", "Нет")</f>
        <v>Нет</v>
      </c>
      <c r="D274" s="48" t="e">
        <f>INDEX(ПрофилиАрт[], MATCH(B274, ПрофилиАрт[полноенаим], 0), MATCH(B260, ПрофилиАрт[#Headers], 0))</f>
        <v>#N/A</v>
      </c>
      <c r="E274" s="293" t="e">
        <f>VLOOKUP(D274, Ред!$B:$F, 4, 0)</f>
        <v>#N/A</v>
      </c>
      <c r="F274" s="48">
        <f>B262+IF(C274="Да", 200, 100)</f>
        <v>100</v>
      </c>
      <c r="G274" s="293" t="e">
        <f>E274/5400*F274*B263</f>
        <v>#N/A</v>
      </c>
      <c r="H274" s="124"/>
      <c r="X274" s="164">
        <v>15</v>
      </c>
      <c r="Y274" s="164" t="e">
        <f>INDEX(Ред!$A:$A,MATCH(Z274,Ред!B:B,0))</f>
        <v>#N/A</v>
      </c>
      <c r="Z274" s="164">
        <f>B280</f>
        <v>0</v>
      </c>
      <c r="AA274" s="309">
        <f>D280</f>
        <v>0</v>
      </c>
      <c r="AB274" s="164"/>
      <c r="AC274" s="164"/>
      <c r="AD274" s="310">
        <f>B263</f>
        <v>0</v>
      </c>
      <c r="AE274" s="164" t="s">
        <v>241</v>
      </c>
    </row>
    <row r="275" spans="1:31" ht="15" hidden="1" customHeight="1" outlineLevel="1" x14ac:dyDescent="0.3">
      <c r="A275" s="292" t="s">
        <v>230</v>
      </c>
      <c r="B275" s="49" t="str">
        <f>INDEX(ПрофилиАрт[полноенаим],MATCH(B259&amp;C275,ПрофилиАрт[поиск],0))</f>
        <v>Фасад, Рамочный узкий профиль</v>
      </c>
      <c r="C275" s="21" t="str">
        <f>IF(A275=INDEX($P$3:$P$12, B258), "Да", "Нет")</f>
        <v>Нет</v>
      </c>
      <c r="D275" s="48" t="e">
        <f>INDEX(ПрофилиАрт[], MATCH(B275, ПрофилиАрт[полноенаим], 0), MATCH(B260, ПрофилиАрт[#Headers], 0))</f>
        <v>#N/A</v>
      </c>
      <c r="E275" s="293" t="e">
        <f>VLOOKUP(D275, Ред!$B:$F, 4, 0)</f>
        <v>#N/A</v>
      </c>
      <c r="F275" s="48">
        <f>B261+IF(C275="Да", 200, 100)</f>
        <v>100</v>
      </c>
      <c r="G275" s="293" t="e">
        <f>E275/5400*F275*B263</f>
        <v>#N/A</v>
      </c>
      <c r="H275" s="124"/>
    </row>
    <row r="276" spans="1:31" ht="15" hidden="1" customHeight="1" outlineLevel="1" x14ac:dyDescent="0.3">
      <c r="A276" s="292" t="s">
        <v>211</v>
      </c>
      <c r="B276" s="49" t="str">
        <f>INDEX(ПрофилиАрт[полноенаим],MATCH(B259&amp;C276,ПрофилиАрт[поиск],0))</f>
        <v>Фасад, Рамочный узкий профиль</v>
      </c>
      <c r="C276" s="21" t="str">
        <f>IF(A276=INDEX($P$3:$P$12, B258), "Да", "Нет")</f>
        <v>Нет</v>
      </c>
      <c r="D276" s="48" t="e">
        <f>INDEX(ПрофилиАрт[], MATCH(B276, ПрофилиАрт[полноенаим], 0), MATCH(B260, ПрофилиАрт[#Headers], 0))</f>
        <v>#N/A</v>
      </c>
      <c r="E276" s="293" t="e">
        <f>VLOOKUP(D276, Ред!$B:$F, 4, 0)</f>
        <v>#N/A</v>
      </c>
      <c r="F276" s="48">
        <f>B262+IF(C276="Да", 200, 100)</f>
        <v>100</v>
      </c>
      <c r="G276" s="293" t="e">
        <f>E276/5400*F276*B263</f>
        <v>#N/A</v>
      </c>
      <c r="H276" s="124"/>
    </row>
    <row r="277" spans="1:31" ht="15" hidden="1" customHeight="1" outlineLevel="1" x14ac:dyDescent="0.3">
      <c r="H277" s="124"/>
    </row>
    <row r="278" spans="1:31" ht="15" hidden="1" customHeight="1" outlineLevel="1" thickBot="1" x14ac:dyDescent="0.35">
      <c r="A278" s="297" t="s">
        <v>241</v>
      </c>
      <c r="B278" s="298" t="s">
        <v>389</v>
      </c>
      <c r="C278" s="299">
        <f>INDEX($Q$3:$Q$12, B258)</f>
        <v>0</v>
      </c>
      <c r="H278" s="124"/>
    </row>
    <row r="279" spans="1:31" ht="15" hidden="1" customHeight="1" outlineLevel="1" x14ac:dyDescent="0.3">
      <c r="B279" s="296" t="s">
        <v>390</v>
      </c>
      <c r="C279" s="19" t="s">
        <v>6</v>
      </c>
      <c r="D279" s="48" t="s">
        <v>379</v>
      </c>
      <c r="E279" s="48" t="s">
        <v>270</v>
      </c>
      <c r="F279" s="124"/>
      <c r="G279" s="124"/>
      <c r="H279" s="124"/>
    </row>
    <row r="280" spans="1:31" ht="15" hidden="1" customHeight="1" outlineLevel="1" x14ac:dyDescent="0.3">
      <c r="A280" s="294" t="s">
        <v>382</v>
      </c>
      <c r="B280" s="295">
        <f>IFERROR(INDEX(Фурнитура[Петли], MATCH(C278,Фурнитура[Цвет петель], 0)),0)</f>
        <v>0</v>
      </c>
      <c r="C280" s="293">
        <f>IFERROR(VLOOKUP(B280, Ред!$B:$F, 4, 0),0)</f>
        <v>0</v>
      </c>
      <c r="D280" s="50">
        <f>IF(INDEX($U$3:$U$12, B258)=0, 0, B263)</f>
        <v>0</v>
      </c>
      <c r="E280" s="48">
        <f>C280*D280</f>
        <v>0</v>
      </c>
      <c r="F280" s="124"/>
      <c r="G280" s="124"/>
      <c r="H280" s="124"/>
    </row>
    <row r="281" spans="1:31" ht="15" hidden="1" customHeight="1" outlineLevel="1" x14ac:dyDescent="0.3">
      <c r="A281" s="294" t="s">
        <v>383</v>
      </c>
      <c r="B281" s="295">
        <f>IFERROR(INDEX(Фурнитура[Уголок], MATCH(C278,Фурнитура[Цвет петель], 0)),0)</f>
        <v>0</v>
      </c>
      <c r="C281" s="293">
        <f>IFERROR(IF(B281="Нет", 0, VLOOKUP(B281, Ред!$B:$F, 4, 0)),0)</f>
        <v>0</v>
      </c>
      <c r="D281" s="50">
        <f>B263</f>
        <v>0</v>
      </c>
      <c r="E281" s="48">
        <f t="shared" ref="E281:E282" si="9">C281*D281</f>
        <v>0</v>
      </c>
      <c r="H281" s="124"/>
    </row>
    <row r="282" spans="1:31" ht="15" hidden="1" customHeight="1" outlineLevel="1" x14ac:dyDescent="0.3">
      <c r="A282" s="294" t="s">
        <v>384</v>
      </c>
      <c r="B282" s="295">
        <f>IFERROR(INDEX(Фурнитура[Уплотнитель], MATCH(C278,Фурнитура[Цвет петель], 0)),0)</f>
        <v>0</v>
      </c>
      <c r="C282" s="293">
        <f>IFERROR(VLOOKUP(B282, Ред!$B:$F, 4, 0),0)</f>
        <v>0</v>
      </c>
      <c r="D282" s="48" t="e">
        <f>IF(B260="BM",(((B261+B262)*2*B263/1000)/1)*1.1,(((B261+B262)*2*B263/1000)/1)*1.1)</f>
        <v>#N/A</v>
      </c>
      <c r="E282" s="48" t="e">
        <f t="shared" si="9"/>
        <v>#N/A</v>
      </c>
      <c r="H282" s="124"/>
    </row>
    <row r="283" spans="1:31" ht="15" hidden="1" customHeight="1" outlineLevel="1" x14ac:dyDescent="0.3">
      <c r="A283" s="70" t="s">
        <v>97</v>
      </c>
      <c r="B283" s="300"/>
      <c r="C283" s="71"/>
      <c r="D283" s="301"/>
      <c r="E283" s="71">
        <v>413</v>
      </c>
      <c r="F283" s="124"/>
      <c r="G283" s="124"/>
      <c r="H283" s="124"/>
    </row>
    <row r="284" spans="1:31" ht="15" hidden="1" customHeight="1" outlineLevel="1" x14ac:dyDescent="0.3">
      <c r="A284" s="70" t="s">
        <v>98</v>
      </c>
      <c r="B284" s="71"/>
      <c r="C284" s="71"/>
      <c r="D284" s="71"/>
      <c r="E284" s="71">
        <v>413</v>
      </c>
      <c r="H284" s="124"/>
    </row>
    <row r="285" spans="1:31" ht="15" hidden="1" customHeight="1" outlineLevel="1" x14ac:dyDescent="0.3"/>
    <row r="286" spans="1:31" ht="15" hidden="1" customHeight="1" outlineLevel="1" thickBot="1" x14ac:dyDescent="0.35">
      <c r="A286" s="302" t="s">
        <v>395</v>
      </c>
      <c r="B286" s="285" t="e">
        <f>SUM(B270:B271, G273:G276, E280:E284)</f>
        <v>#N/A</v>
      </c>
      <c r="C286" s="5"/>
      <c r="F286" s="278"/>
    </row>
    <row r="287" spans="1:31" ht="15" hidden="1" customHeight="1" outlineLevel="1" thickTop="1" x14ac:dyDescent="0.3">
      <c r="A287" s="145"/>
      <c r="B287" s="134"/>
      <c r="D287" s="124"/>
      <c r="E287" s="124"/>
      <c r="F287" s="124"/>
      <c r="G287" s="124"/>
      <c r="H287" s="124"/>
    </row>
    <row r="288" spans="1:31" ht="15.6" hidden="1" outlineLevel="1" x14ac:dyDescent="0.3">
      <c r="A288" s="145"/>
      <c r="B288" s="134"/>
      <c r="C288" s="5"/>
    </row>
    <row r="289" spans="1:31" ht="16.2" hidden="1" outlineLevel="1" thickBot="1" x14ac:dyDescent="0.35">
      <c r="A289" s="145"/>
      <c r="B289" s="134"/>
      <c r="C289" s="5"/>
      <c r="X289" s="661" t="s">
        <v>253</v>
      </c>
      <c r="Y289" s="661"/>
      <c r="Z289" s="661"/>
      <c r="AA289" s="661"/>
      <c r="AB289" s="661"/>
      <c r="AC289" s="661"/>
      <c r="AD289" s="661"/>
      <c r="AE289" s="661"/>
    </row>
    <row r="290" spans="1:31" ht="15" customHeight="1" collapsed="1" thickTop="1" thickBot="1" x14ac:dyDescent="0.45">
      <c r="A290" s="286" t="s">
        <v>396</v>
      </c>
      <c r="B290" s="287">
        <v>10</v>
      </c>
      <c r="X290" s="147" t="s">
        <v>115</v>
      </c>
      <c r="Y290" s="147" t="s">
        <v>232</v>
      </c>
      <c r="Z290" s="147" t="s">
        <v>233</v>
      </c>
      <c r="AA290" s="163" t="s">
        <v>149</v>
      </c>
      <c r="AB290" s="147" t="s">
        <v>234</v>
      </c>
      <c r="AC290" s="147" t="s">
        <v>235</v>
      </c>
      <c r="AD290" s="148" t="s">
        <v>236</v>
      </c>
      <c r="AE290" s="147" t="s">
        <v>237</v>
      </c>
    </row>
    <row r="291" spans="1:31" ht="15" hidden="1" customHeight="1" outlineLevel="1" thickTop="1" x14ac:dyDescent="0.3">
      <c r="A291" s="134" t="s">
        <v>358</v>
      </c>
      <c r="B291" s="279" t="s">
        <v>365</v>
      </c>
      <c r="C291" s="5"/>
      <c r="X291" s="161"/>
      <c r="Y291" s="191" t="s">
        <v>15</v>
      </c>
      <c r="Z291" s="191" t="s">
        <v>5</v>
      </c>
      <c r="AA291" s="191" t="s">
        <v>238</v>
      </c>
      <c r="AB291" s="191" t="s">
        <v>239</v>
      </c>
      <c r="AC291" s="195" t="s">
        <v>16</v>
      </c>
      <c r="AD291" s="196" t="s">
        <v>8</v>
      </c>
      <c r="AE291" s="191"/>
    </row>
    <row r="292" spans="1:31" ht="15" hidden="1" customHeight="1" outlineLevel="1" x14ac:dyDescent="0.3">
      <c r="A292" s="5" t="s">
        <v>376</v>
      </c>
      <c r="B292" s="279" t="e">
        <f>INDEX($L$3:$L$12, B290)</f>
        <v>#N/A</v>
      </c>
      <c r="C292" s="5"/>
      <c r="X292" s="162">
        <v>1</v>
      </c>
      <c r="Y292" s="162" t="str">
        <f>B305</f>
        <v>Фасад, Рамочный узкий профиль</v>
      </c>
      <c r="Z292" s="166" t="e">
        <f>D305</f>
        <v>#N/A</v>
      </c>
      <c r="AA292" s="192">
        <f>ROUNDUP(F305/5400*1.1*AD292, 2)</f>
        <v>0</v>
      </c>
      <c r="AB292" s="194"/>
      <c r="AC292" s="162" t="str">
        <f>B293&amp;"мм-"&amp;B295&amp;"шт"</f>
        <v>0мм-0шт</v>
      </c>
      <c r="AD292" s="310">
        <f>B295</f>
        <v>0</v>
      </c>
      <c r="AE292" s="197" t="s">
        <v>240</v>
      </c>
    </row>
    <row r="293" spans="1:31" ht="15" hidden="1" customHeight="1" outlineLevel="1" x14ac:dyDescent="0.3">
      <c r="A293" s="5" t="s">
        <v>4</v>
      </c>
      <c r="B293" s="279">
        <f>INDEX($R$3:$R$12, B290)</f>
        <v>0</v>
      </c>
      <c r="C293" s="5"/>
      <c r="X293" s="162">
        <v>2</v>
      </c>
      <c r="Y293" s="162" t="str">
        <f>B306</f>
        <v>Фасад, Рамочный узкий профиль</v>
      </c>
      <c r="Z293" s="166" t="e">
        <f>D306</f>
        <v>#N/A</v>
      </c>
      <c r="AA293" s="192">
        <f>ROUNDUP(F306/5400*1.1*AD293, 2)</f>
        <v>0</v>
      </c>
      <c r="AB293" s="162"/>
      <c r="AC293" s="162" t="str">
        <f>B294&amp;"мм-"&amp;B295&amp;"шт"</f>
        <v>0мм-0шт</v>
      </c>
      <c r="AD293" s="310">
        <f>B295</f>
        <v>0</v>
      </c>
      <c r="AE293" s="197" t="s">
        <v>240</v>
      </c>
    </row>
    <row r="294" spans="1:31" ht="15" hidden="1" customHeight="1" outlineLevel="1" x14ac:dyDescent="0.3">
      <c r="A294" s="5" t="s">
        <v>1</v>
      </c>
      <c r="B294" s="279">
        <f>INDEX($S$3:$S$12, B290)</f>
        <v>0</v>
      </c>
      <c r="D294" s="134"/>
      <c r="E294" s="124"/>
      <c r="F294" s="124"/>
      <c r="G294" s="124"/>
      <c r="X294" s="162">
        <v>3</v>
      </c>
      <c r="Y294" s="164" t="str">
        <f>B307</f>
        <v>Фасад, Рамочный узкий профиль</v>
      </c>
      <c r="Z294" s="193" t="e">
        <f>D307</f>
        <v>#N/A</v>
      </c>
      <c r="AA294" s="192">
        <f>ROUNDUP(F307/5400*1.1*AD294, 2)</f>
        <v>0</v>
      </c>
      <c r="AB294" s="164"/>
      <c r="AC294" s="162" t="str">
        <f>B293&amp;"мм-"&amp;B295&amp;"шт"</f>
        <v>0мм-0шт</v>
      </c>
      <c r="AD294" s="310">
        <f>B295</f>
        <v>0</v>
      </c>
      <c r="AE294" s="197" t="s">
        <v>240</v>
      </c>
    </row>
    <row r="295" spans="1:31" ht="15" hidden="1" customHeight="1" outlineLevel="1" x14ac:dyDescent="0.3">
      <c r="A295" s="39" t="s">
        <v>72</v>
      </c>
      <c r="B295" s="280">
        <f>INDEX($T$3:$T$12, B290)</f>
        <v>0</v>
      </c>
      <c r="C295" s="40"/>
      <c r="D295" s="40"/>
      <c r="E295" s="40"/>
      <c r="F295" s="271"/>
      <c r="G295" s="271"/>
      <c r="X295" s="162">
        <v>4</v>
      </c>
      <c r="Y295" s="164" t="str">
        <f>B308</f>
        <v>Фасад, Рамочный узкий профиль</v>
      </c>
      <c r="Z295" s="193" t="e">
        <f>D308</f>
        <v>#N/A</v>
      </c>
      <c r="AA295" s="192">
        <f>ROUNDUP(F308/5400*1.1*AD295, 2)</f>
        <v>0</v>
      </c>
      <c r="AB295" s="194"/>
      <c r="AC295" s="162" t="str">
        <f>B294&amp;"мм-"&amp;B295&amp;"шт"</f>
        <v>0мм-0шт</v>
      </c>
      <c r="AD295" s="310">
        <f>B295</f>
        <v>0</v>
      </c>
      <c r="AE295" s="197" t="s">
        <v>240</v>
      </c>
    </row>
    <row r="296" spans="1:31" ht="15" hidden="1" customHeight="1" outlineLevel="1" x14ac:dyDescent="0.3">
      <c r="A296" s="39" t="s">
        <v>360</v>
      </c>
      <c r="B296" s="269">
        <f>INDEX($M$3:$M$12, B290)</f>
        <v>0</v>
      </c>
      <c r="F296" s="124"/>
      <c r="G296" s="124"/>
      <c r="X296" s="162">
        <v>5</v>
      </c>
      <c r="Y296" s="164">
        <f>B296</f>
        <v>0</v>
      </c>
      <c r="Z296" s="164" t="str">
        <f>B297</f>
        <v>.</v>
      </c>
      <c r="AA296" s="309">
        <f>B295</f>
        <v>0</v>
      </c>
      <c r="AB296" s="164" t="str">
        <f>CONCATENATE("В ",B299,", ","Ш ",B300)</f>
        <v>В -6, Ш -6</v>
      </c>
      <c r="AC296" s="164"/>
      <c r="AD296" s="310">
        <f>B295</f>
        <v>0</v>
      </c>
      <c r="AE296" s="197" t="s">
        <v>278</v>
      </c>
    </row>
    <row r="297" spans="1:31" ht="15" hidden="1" customHeight="1" outlineLevel="1" x14ac:dyDescent="0.3">
      <c r="A297" s="39" t="s">
        <v>381</v>
      </c>
      <c r="B297" s="269" t="str">
        <f>IFERROR(INDEX($N$3:$N$12, B290),0)</f>
        <v>.</v>
      </c>
      <c r="F297" s="124"/>
      <c r="G297" s="124"/>
      <c r="X297" s="162">
        <v>6</v>
      </c>
      <c r="Y297" s="164" t="s">
        <v>242</v>
      </c>
      <c r="Z297" s="167" t="s">
        <v>243</v>
      </c>
      <c r="AA297" s="164">
        <f>IF(B293&gt;550,2*AD297,1*AD297)</f>
        <v>0</v>
      </c>
      <c r="AB297" s="164"/>
      <c r="AC297" s="164"/>
      <c r="AD297" s="310">
        <f>B295</f>
        <v>0</v>
      </c>
      <c r="AE297" s="197" t="s">
        <v>240</v>
      </c>
    </row>
    <row r="298" spans="1:31" ht="15" hidden="1" customHeight="1" outlineLevel="1" x14ac:dyDescent="0.3">
      <c r="A298" s="39" t="s">
        <v>398</v>
      </c>
      <c r="B298" s="281">
        <f>IFERROR(IF(B297=".", 0, VLOOKUP(B297, Ред!$B:$F, 4, 0)),0)</f>
        <v>0</v>
      </c>
      <c r="F298" s="124"/>
      <c r="G298" s="124"/>
      <c r="H298" s="124"/>
      <c r="X298" s="162">
        <v>7</v>
      </c>
      <c r="Y298" s="164" t="s">
        <v>244</v>
      </c>
      <c r="Z298" s="167" t="s">
        <v>245</v>
      </c>
      <c r="AA298" s="164">
        <f>(B293+B294)*2/1000*AD298</f>
        <v>0</v>
      </c>
      <c r="AB298" s="164"/>
      <c r="AC298" s="164"/>
      <c r="AD298" s="310">
        <f>B295</f>
        <v>0</v>
      </c>
      <c r="AE298" s="197" t="s">
        <v>240</v>
      </c>
    </row>
    <row r="299" spans="1:31" s="40" customFormat="1" ht="15" hidden="1" customHeight="1" outlineLevel="1" x14ac:dyDescent="0.3">
      <c r="A299" s="39" t="s">
        <v>399</v>
      </c>
      <c r="B299" s="282">
        <f>B293-6</f>
        <v>-6</v>
      </c>
      <c r="C299" s="39"/>
      <c r="D299" s="39"/>
      <c r="E299" s="39"/>
      <c r="F299" s="124"/>
      <c r="G299" s="124"/>
      <c r="X299" s="162">
        <v>8</v>
      </c>
      <c r="Y299" s="165" t="s">
        <v>246</v>
      </c>
      <c r="Z299" s="167" t="s">
        <v>247</v>
      </c>
      <c r="AA299" s="164">
        <f>0.02*AD299</f>
        <v>0</v>
      </c>
      <c r="AB299" s="164"/>
      <c r="AC299" s="164"/>
      <c r="AD299" s="310">
        <f>B295</f>
        <v>0</v>
      </c>
      <c r="AE299" s="197" t="s">
        <v>240</v>
      </c>
    </row>
    <row r="300" spans="1:31" ht="15" hidden="1" customHeight="1" outlineLevel="1" x14ac:dyDescent="0.3">
      <c r="A300" s="39" t="s">
        <v>400</v>
      </c>
      <c r="B300" s="282">
        <f>B294-6</f>
        <v>-6</v>
      </c>
      <c r="C300" s="5"/>
      <c r="D300" s="124"/>
      <c r="E300" s="124"/>
      <c r="F300" s="124"/>
      <c r="G300" s="124"/>
      <c r="H300" s="124"/>
      <c r="X300" s="162">
        <v>9</v>
      </c>
      <c r="Y300" s="164" t="s">
        <v>475</v>
      </c>
      <c r="Z300" s="167" t="s">
        <v>474</v>
      </c>
      <c r="AA300" s="193">
        <f>(((B294*2)/1000)+0.5)/66*B295</f>
        <v>0</v>
      </c>
      <c r="AB300" s="164"/>
      <c r="AC300" s="164"/>
      <c r="AD300" s="310">
        <f>B295</f>
        <v>0</v>
      </c>
      <c r="AE300" s="197" t="s">
        <v>240</v>
      </c>
    </row>
    <row r="301" spans="1:31" ht="15" hidden="1" customHeight="1" outlineLevel="1" x14ac:dyDescent="0.3">
      <c r="A301" s="39" t="s">
        <v>401</v>
      </c>
      <c r="B301" s="283">
        <f>B299*B300/1000000</f>
        <v>3.6000000000000001E-5</v>
      </c>
      <c r="C301" s="5"/>
      <c r="D301" s="124"/>
      <c r="E301" s="124"/>
      <c r="F301" s="124"/>
      <c r="G301" s="124"/>
      <c r="H301" s="124"/>
      <c r="X301" s="162">
        <v>10</v>
      </c>
      <c r="Y301" s="164" t="s">
        <v>248</v>
      </c>
      <c r="Z301" s="167" t="s">
        <v>249</v>
      </c>
      <c r="AA301" s="193">
        <f>((B294*8/1000)+0.5)/45*B295</f>
        <v>0</v>
      </c>
      <c r="AB301" s="164"/>
      <c r="AC301" s="164"/>
      <c r="AD301" s="310">
        <f>B295</f>
        <v>0</v>
      </c>
      <c r="AE301" s="197" t="s">
        <v>240</v>
      </c>
    </row>
    <row r="302" spans="1:31" ht="15" hidden="1" customHeight="1" outlineLevel="1" x14ac:dyDescent="0.3">
      <c r="A302" s="145" t="s">
        <v>402</v>
      </c>
      <c r="B302" s="284">
        <f>B298*B301*B295</f>
        <v>0</v>
      </c>
      <c r="H302" s="124"/>
      <c r="X302" s="188">
        <v>11</v>
      </c>
      <c r="Y302" s="189" t="s">
        <v>250</v>
      </c>
      <c r="Z302" s="190" t="s">
        <v>251</v>
      </c>
      <c r="AA302" s="189">
        <f>((B294*4/1000)+1)</f>
        <v>1</v>
      </c>
      <c r="AB302" s="189"/>
      <c r="AC302" s="189"/>
      <c r="AD302" s="311">
        <f>B295</f>
        <v>0</v>
      </c>
      <c r="AE302" s="197" t="s">
        <v>240</v>
      </c>
    </row>
    <row r="303" spans="1:31" ht="15" hidden="1" customHeight="1" outlineLevel="1" x14ac:dyDescent="0.3">
      <c r="A303" s="39" t="s">
        <v>576</v>
      </c>
      <c r="B303" s="356">
        <f>IFERROR(IF(D303,(B299+B300)/1000*2*F303*B295,0),0)</f>
        <v>0</v>
      </c>
      <c r="C303" s="39" t="s">
        <v>574</v>
      </c>
      <c r="D303" s="39">
        <f>IFERROR(INDEX(Вставки[Обработка],MATCH(B297,Вставки[арт],0)) = 1,0)</f>
        <v>0</v>
      </c>
      <c r="E303" s="39" t="s">
        <v>6</v>
      </c>
      <c r="F303" s="250">
        <f>Ред!$E$91</f>
        <v>198.79999999999998</v>
      </c>
      <c r="H303" s="124"/>
      <c r="X303" s="189">
        <v>12</v>
      </c>
      <c r="Y303" s="189" t="s">
        <v>279</v>
      </c>
      <c r="Z303" s="167" t="s">
        <v>280</v>
      </c>
      <c r="AA303" s="189">
        <v>1</v>
      </c>
      <c r="AB303" s="164"/>
      <c r="AC303" s="189"/>
      <c r="AD303" s="310">
        <v>1</v>
      </c>
      <c r="AE303" s="256" t="s">
        <v>240</v>
      </c>
    </row>
    <row r="304" spans="1:31" ht="15" hidden="1" customHeight="1" outlineLevel="1" x14ac:dyDescent="0.3">
      <c r="A304" s="5"/>
      <c r="B304" s="288" t="s">
        <v>15</v>
      </c>
      <c r="C304" s="289" t="s">
        <v>371</v>
      </c>
      <c r="D304" s="290" t="s">
        <v>5</v>
      </c>
      <c r="E304" s="290" t="s">
        <v>3</v>
      </c>
      <c r="F304" s="291" t="s">
        <v>380</v>
      </c>
      <c r="G304" s="291" t="s">
        <v>7</v>
      </c>
      <c r="H304" s="124"/>
      <c r="X304" s="162">
        <v>13</v>
      </c>
      <c r="Y304" s="49" t="e">
        <f>INDEX(Ред!$A:$A,MATCH(Z304,Ред!B:B,0))</f>
        <v>#N/A</v>
      </c>
      <c r="Z304" s="167">
        <f>B313</f>
        <v>0</v>
      </c>
      <c r="AA304" s="50">
        <f>D313</f>
        <v>0</v>
      </c>
      <c r="AB304" s="164"/>
      <c r="AC304" s="164"/>
      <c r="AD304" s="310">
        <f>AA304</f>
        <v>0</v>
      </c>
      <c r="AE304" s="164" t="s">
        <v>241</v>
      </c>
    </row>
    <row r="305" spans="1:31" ht="15" hidden="1" customHeight="1" outlineLevel="1" x14ac:dyDescent="0.3">
      <c r="A305" s="292" t="s">
        <v>104</v>
      </c>
      <c r="B305" s="49" t="str">
        <f>INDEX(ПрофилиАрт[полноенаим],MATCH(B291&amp;C305,ПрофилиАрт[поиск],0))</f>
        <v>Фасад, Рамочный узкий профиль</v>
      </c>
      <c r="C305" s="21" t="str">
        <f>IF(A305=INDEX($P$3:$P$12, B290), "Да", "Нет")</f>
        <v>Нет</v>
      </c>
      <c r="D305" s="48" t="e">
        <f>INDEX(ПрофилиАрт[], MATCH(B305, ПрофилиАрт[полноенаим], 0), MATCH(B292, ПрофилиАрт[#Headers], 0))</f>
        <v>#N/A</v>
      </c>
      <c r="E305" s="293" t="e">
        <f>VLOOKUP(D305, Ред!$B:$F, 4, 0)</f>
        <v>#N/A</v>
      </c>
      <c r="F305" s="48">
        <f>B293+IF(C305="Да", 200, 100)</f>
        <v>100</v>
      </c>
      <c r="G305" s="293" t="e">
        <f>E305/5400*F305*B295</f>
        <v>#N/A</v>
      </c>
      <c r="H305" s="124"/>
      <c r="X305" s="164">
        <v>14</v>
      </c>
      <c r="Y305" s="164" t="e">
        <f>INDEX(Ред!$A:$A,MATCH(Z305,Ред!B:B,0))</f>
        <v>#N/A</v>
      </c>
      <c r="Z305" s="167">
        <f>B314</f>
        <v>0</v>
      </c>
      <c r="AA305" s="193" t="e">
        <f>ROUNDUP(D314/2.6,1)</f>
        <v>#N/A</v>
      </c>
      <c r="AB305" s="164"/>
      <c r="AC305" s="164"/>
      <c r="AD305" s="310">
        <f>B295</f>
        <v>0</v>
      </c>
      <c r="AE305" s="164" t="s">
        <v>240</v>
      </c>
    </row>
    <row r="306" spans="1:31" ht="15" hidden="1" customHeight="1" outlineLevel="1" x14ac:dyDescent="0.3">
      <c r="A306" s="292" t="s">
        <v>210</v>
      </c>
      <c r="B306" s="49" t="str">
        <f>INDEX(ПрофилиАрт[полноенаим],MATCH(B291&amp;C306,ПрофилиАрт[поиск],0))</f>
        <v>Фасад, Рамочный узкий профиль</v>
      </c>
      <c r="C306" s="21" t="str">
        <f>IF(A306=INDEX($P$3:$P$12, B290), "Да", "Нет")</f>
        <v>Нет</v>
      </c>
      <c r="D306" s="48" t="e">
        <f>INDEX(ПрофилиАрт[], MATCH(B306, ПрофилиАрт[полноенаим], 0), MATCH(B292, ПрофилиАрт[#Headers], 0))</f>
        <v>#N/A</v>
      </c>
      <c r="E306" s="293" t="e">
        <f>VLOOKUP(D306, Ред!$B:$F, 4, 0)</f>
        <v>#N/A</v>
      </c>
      <c r="F306" s="48">
        <f>B294+IF(C306="Да", 200, 100)</f>
        <v>100</v>
      </c>
      <c r="G306" s="293" t="e">
        <f>E306/5400*F306*B295</f>
        <v>#N/A</v>
      </c>
      <c r="H306" s="124"/>
      <c r="X306" s="164">
        <v>15</v>
      </c>
      <c r="Y306" s="164" t="e">
        <f>INDEX(Ред!$A:$A,MATCH(Z306,Ред!B:B,0))</f>
        <v>#N/A</v>
      </c>
      <c r="Z306" s="164">
        <f>B312</f>
        <v>0</v>
      </c>
      <c r="AA306" s="309">
        <f>D312</f>
        <v>0</v>
      </c>
      <c r="AB306" s="164"/>
      <c r="AC306" s="164"/>
      <c r="AD306" s="310">
        <f>B295</f>
        <v>0</v>
      </c>
      <c r="AE306" s="164" t="s">
        <v>241</v>
      </c>
    </row>
    <row r="307" spans="1:31" ht="15" hidden="1" customHeight="1" outlineLevel="1" x14ac:dyDescent="0.3">
      <c r="A307" s="292" t="s">
        <v>230</v>
      </c>
      <c r="B307" s="49" t="str">
        <f>INDEX(ПрофилиАрт[полноенаим],MATCH(B291&amp;C307,ПрофилиАрт[поиск],0))</f>
        <v>Фасад, Рамочный узкий профиль</v>
      </c>
      <c r="C307" s="21" t="str">
        <f>IF(A307=INDEX($P$3:$P$12, B290), "Да", "Нет")</f>
        <v>Нет</v>
      </c>
      <c r="D307" s="48" t="e">
        <f>INDEX(ПрофилиАрт[], MATCH(B307, ПрофилиАрт[полноенаим], 0), MATCH(B292, ПрофилиАрт[#Headers], 0))</f>
        <v>#N/A</v>
      </c>
      <c r="E307" s="293" t="e">
        <f>VLOOKUP(D307, Ред!$B:$F, 4, 0)</f>
        <v>#N/A</v>
      </c>
      <c r="F307" s="48">
        <f>B293+IF(C307="Да", 200, 100)</f>
        <v>100</v>
      </c>
      <c r="G307" s="293" t="e">
        <f>E307/5400*F307*B295</f>
        <v>#N/A</v>
      </c>
      <c r="H307" s="124"/>
    </row>
    <row r="308" spans="1:31" ht="15" hidden="1" customHeight="1" outlineLevel="1" x14ac:dyDescent="0.3">
      <c r="A308" s="292" t="s">
        <v>211</v>
      </c>
      <c r="B308" s="49" t="str">
        <f>INDEX(ПрофилиАрт[полноенаим],MATCH(B291&amp;C308,ПрофилиАрт[поиск],0))</f>
        <v>Фасад, Рамочный узкий профиль</v>
      </c>
      <c r="C308" s="21" t="str">
        <f>IF(A308=INDEX($P$3:$P$12, B290), "Да", "Нет")</f>
        <v>Нет</v>
      </c>
      <c r="D308" s="48" t="e">
        <f>INDEX(ПрофилиАрт[], MATCH(B308, ПрофилиАрт[полноенаим], 0), MATCH(B292, ПрофилиАрт[#Headers], 0))</f>
        <v>#N/A</v>
      </c>
      <c r="E308" s="293" t="e">
        <f>VLOOKUP(D308, Ред!$B:$F, 4, 0)</f>
        <v>#N/A</v>
      </c>
      <c r="F308" s="48">
        <f>B294+IF(C308="Да", 200, 100)</f>
        <v>100</v>
      </c>
      <c r="G308" s="293" t="e">
        <f>E308/5400*F308*B295</f>
        <v>#N/A</v>
      </c>
      <c r="H308" s="124"/>
    </row>
    <row r="309" spans="1:31" ht="15" hidden="1" customHeight="1" outlineLevel="1" x14ac:dyDescent="0.3">
      <c r="H309" s="124"/>
    </row>
    <row r="310" spans="1:31" ht="15" hidden="1" customHeight="1" outlineLevel="1" thickBot="1" x14ac:dyDescent="0.35">
      <c r="A310" s="297" t="s">
        <v>241</v>
      </c>
      <c r="B310" s="298" t="s">
        <v>389</v>
      </c>
      <c r="C310" s="299">
        <f>INDEX($Q$3:$Q$12, B290)</f>
        <v>0</v>
      </c>
      <c r="H310" s="124"/>
    </row>
    <row r="311" spans="1:31" ht="15" hidden="1" customHeight="1" outlineLevel="1" x14ac:dyDescent="0.3">
      <c r="B311" s="296" t="s">
        <v>390</v>
      </c>
      <c r="C311" s="19" t="s">
        <v>6</v>
      </c>
      <c r="D311" s="48" t="s">
        <v>379</v>
      </c>
      <c r="E311" s="48" t="s">
        <v>270</v>
      </c>
      <c r="F311" s="124"/>
      <c r="G311" s="124"/>
      <c r="H311" s="124"/>
    </row>
    <row r="312" spans="1:31" ht="15" hidden="1" customHeight="1" outlineLevel="1" x14ac:dyDescent="0.3">
      <c r="A312" s="294" t="s">
        <v>382</v>
      </c>
      <c r="B312" s="295">
        <f>IFERROR(INDEX(Фурнитура[Петли], MATCH(C310,Фурнитура[Цвет петель], 0)),0)</f>
        <v>0</v>
      </c>
      <c r="C312" s="293">
        <f>IFERROR(VLOOKUP(B312, Ред!$B:$F, 4, 0),0)</f>
        <v>0</v>
      </c>
      <c r="D312" s="50">
        <f>IF(INDEX($U$3:$U$12, B290)=0, 0, B295)</f>
        <v>0</v>
      </c>
      <c r="E312" s="48">
        <f>C312*D312</f>
        <v>0</v>
      </c>
      <c r="F312" s="124"/>
      <c r="G312" s="124"/>
      <c r="H312" s="124"/>
    </row>
    <row r="313" spans="1:31" ht="15" hidden="1" customHeight="1" outlineLevel="1" x14ac:dyDescent="0.3">
      <c r="A313" s="294" t="s">
        <v>383</v>
      </c>
      <c r="B313" s="295">
        <f>IFERROR(INDEX(Фурнитура[Уголок], MATCH(C310,Фурнитура[Цвет петель], 0)),0)</f>
        <v>0</v>
      </c>
      <c r="C313" s="293">
        <f>IFERROR(IF(B313="Нет", 0, VLOOKUP(B313, Ред!$B:$F, 4, 0)),0)</f>
        <v>0</v>
      </c>
      <c r="D313" s="50">
        <f>B295</f>
        <v>0</v>
      </c>
      <c r="E313" s="48">
        <f t="shared" ref="E313:E314" si="10">C313*D313</f>
        <v>0</v>
      </c>
      <c r="H313" s="124"/>
    </row>
    <row r="314" spans="1:31" ht="15" hidden="1" customHeight="1" outlineLevel="1" x14ac:dyDescent="0.3">
      <c r="A314" s="294" t="s">
        <v>384</v>
      </c>
      <c r="B314" s="295">
        <f>IFERROR(INDEX(Фурнитура[Уплотнитель], MATCH(C310,Фурнитура[Цвет петель], 0)),0)</f>
        <v>0</v>
      </c>
      <c r="C314" s="293">
        <f>IFERROR(VLOOKUP(B314, Ред!$B:$F, 4, 0),0)</f>
        <v>0</v>
      </c>
      <c r="D314" s="48" t="e">
        <f>IF(B292="BM",(((B293+B294)*2*B295/1000)/1)*1.1,(((B293+B294)*2*B295/1000)/1)*1.1)</f>
        <v>#N/A</v>
      </c>
      <c r="E314" s="48" t="e">
        <f t="shared" si="10"/>
        <v>#N/A</v>
      </c>
      <c r="H314" s="124"/>
    </row>
    <row r="315" spans="1:31" ht="15" hidden="1" customHeight="1" outlineLevel="1" x14ac:dyDescent="0.3">
      <c r="A315" s="70" t="s">
        <v>97</v>
      </c>
      <c r="B315" s="300"/>
      <c r="C315" s="71"/>
      <c r="D315" s="301"/>
      <c r="E315" s="71">
        <v>413</v>
      </c>
      <c r="F315" s="124"/>
      <c r="G315" s="124"/>
      <c r="H315" s="124"/>
    </row>
    <row r="316" spans="1:31" ht="15" hidden="1" customHeight="1" outlineLevel="1" x14ac:dyDescent="0.3">
      <c r="A316" s="70" t="s">
        <v>98</v>
      </c>
      <c r="B316" s="71"/>
      <c r="C316" s="71"/>
      <c r="D316" s="71"/>
      <c r="E316" s="71">
        <v>413</v>
      </c>
      <c r="H316" s="124"/>
    </row>
    <row r="317" spans="1:31" ht="15" hidden="1" customHeight="1" outlineLevel="1" x14ac:dyDescent="0.3"/>
    <row r="318" spans="1:31" ht="15" hidden="1" customHeight="1" outlineLevel="1" thickBot="1" x14ac:dyDescent="0.35">
      <c r="A318" s="302" t="s">
        <v>395</v>
      </c>
      <c r="B318" s="285" t="e">
        <f>SUM(B302:B303, G305:G308, E312:E316)</f>
        <v>#N/A</v>
      </c>
      <c r="C318" s="5"/>
      <c r="F318" s="278"/>
    </row>
    <row r="319" spans="1:31" ht="15" hidden="1" customHeight="1" outlineLevel="1" thickTop="1" x14ac:dyDescent="0.3">
      <c r="A319" s="145"/>
      <c r="B319" s="134"/>
      <c r="D319" s="124"/>
      <c r="E319" s="124"/>
      <c r="F319" s="124"/>
      <c r="G319" s="124"/>
      <c r="H319" s="124"/>
    </row>
    <row r="320" spans="1:31" ht="15.6" hidden="1" outlineLevel="1" x14ac:dyDescent="0.3">
      <c r="A320" s="145"/>
      <c r="B320" s="134"/>
      <c r="C320" s="5"/>
    </row>
    <row r="321" spans="1:3" ht="15.6" hidden="1" outlineLevel="1" x14ac:dyDescent="0.3">
      <c r="A321" s="145"/>
      <c r="B321" s="134"/>
      <c r="C321" s="5"/>
    </row>
    <row r="322" spans="1:3" ht="15" collapsed="1" thickTop="1" x14ac:dyDescent="0.3"/>
  </sheetData>
  <mergeCells count="10">
    <mergeCell ref="X161:AE161"/>
    <mergeCell ref="X193:AE193"/>
    <mergeCell ref="X225:AE225"/>
    <mergeCell ref="X257:AE257"/>
    <mergeCell ref="X289:AE289"/>
    <mergeCell ref="X1:AE1"/>
    <mergeCell ref="X33:AE33"/>
    <mergeCell ref="X65:AE65"/>
    <mergeCell ref="X97:AE97"/>
    <mergeCell ref="X129:AE129"/>
  </mergeCells>
  <pageMargins left="0.7" right="0.7" top="0.75" bottom="0.75" header="0.3" footer="0.3"/>
  <pageSetup paperSize="9"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BA2E2-FABE-43BC-8724-40674193DFD6}">
  <sheetPr codeName="Лист15">
    <outlinePr summaryBelow="0" summaryRight="0"/>
    <pageSetUpPr fitToPage="1"/>
  </sheetPr>
  <dimension ref="A1:AE322"/>
  <sheetViews>
    <sheetView zoomScale="85" zoomScaleNormal="85" workbookViewId="0">
      <selection activeCell="E329" sqref="E329"/>
    </sheetView>
  </sheetViews>
  <sheetFormatPr defaultColWidth="9.109375" defaultRowHeight="14.4" outlineLevelRow="1" outlineLevelCol="1" x14ac:dyDescent="0.3"/>
  <cols>
    <col min="1" max="1" width="23.44140625" style="39" customWidth="1"/>
    <col min="2" max="2" width="31.88671875" style="39" customWidth="1"/>
    <col min="3" max="3" width="13.33203125" style="39" customWidth="1"/>
    <col min="4" max="6" width="11.88671875" style="39" customWidth="1"/>
    <col min="7" max="7" width="11.88671875" style="39" customWidth="1" collapsed="1"/>
    <col min="8" max="8" width="11.88671875" style="39" hidden="1" customWidth="1" outlineLevel="1"/>
    <col min="9" max="21" width="10" style="39" hidden="1" customWidth="1" outlineLevel="1"/>
    <col min="22" max="22" width="11.6640625" style="39" hidden="1" customWidth="1" outlineLevel="1"/>
    <col min="23" max="23" width="10" style="39" hidden="1" customWidth="1" outlineLevel="1"/>
    <col min="24" max="24" width="4" style="39" customWidth="1"/>
    <col min="25" max="25" width="46.6640625" style="39" customWidth="1"/>
    <col min="26" max="26" width="24" style="39" customWidth="1"/>
    <col min="27" max="27" width="9.33203125" style="39" customWidth="1"/>
    <col min="28" max="28" width="17.6640625" style="39" customWidth="1"/>
    <col min="29" max="29" width="19" style="39" customWidth="1"/>
    <col min="30" max="30" width="9.109375" style="39"/>
    <col min="31" max="31" width="45.109375" style="39" customWidth="1"/>
    <col min="32" max="16384" width="9.109375" style="39"/>
  </cols>
  <sheetData>
    <row r="1" spans="1:31" ht="15" thickBot="1" x14ac:dyDescent="0.35">
      <c r="X1" s="661" t="s">
        <v>252</v>
      </c>
      <c r="Y1" s="661"/>
      <c r="Z1" s="661"/>
      <c r="AA1" s="661"/>
      <c r="AB1" s="661"/>
      <c r="AC1" s="661"/>
      <c r="AD1" s="661"/>
      <c r="AE1" s="661"/>
    </row>
    <row r="2" spans="1:31" ht="20.100000000000001" customHeight="1" collapsed="1" thickBot="1" x14ac:dyDescent="0.45">
      <c r="A2" s="286" t="s">
        <v>396</v>
      </c>
      <c r="B2" s="287">
        <v>1</v>
      </c>
      <c r="J2" s="268" t="s">
        <v>361</v>
      </c>
      <c r="K2" s="268" t="s">
        <v>362</v>
      </c>
      <c r="L2" s="268" t="s">
        <v>373</v>
      </c>
      <c r="M2" s="268" t="s">
        <v>363</v>
      </c>
      <c r="N2" s="268" t="s">
        <v>374</v>
      </c>
      <c r="O2" s="268" t="s">
        <v>364</v>
      </c>
      <c r="P2" s="268" t="s">
        <v>375</v>
      </c>
      <c r="Q2" s="268" t="s">
        <v>382</v>
      </c>
      <c r="R2" s="268" t="s">
        <v>377</v>
      </c>
      <c r="S2" s="268" t="s">
        <v>378</v>
      </c>
      <c r="T2" s="268" t="s">
        <v>379</v>
      </c>
      <c r="U2" s="268" t="s">
        <v>394</v>
      </c>
      <c r="V2" s="268" t="s">
        <v>682</v>
      </c>
      <c r="X2" s="147" t="s">
        <v>115</v>
      </c>
      <c r="Y2" s="147" t="s">
        <v>232</v>
      </c>
      <c r="Z2" s="147" t="s">
        <v>233</v>
      </c>
      <c r="AA2" s="163" t="s">
        <v>149</v>
      </c>
      <c r="AB2" s="147" t="s">
        <v>234</v>
      </c>
      <c r="AC2" s="147" t="s">
        <v>235</v>
      </c>
      <c r="AD2" s="148" t="s">
        <v>236</v>
      </c>
      <c r="AE2" s="147" t="s">
        <v>237</v>
      </c>
    </row>
    <row r="3" spans="1:31" ht="15" hidden="1" customHeight="1" outlineLevel="1" thickTop="1" x14ac:dyDescent="0.3">
      <c r="A3" s="134" t="s">
        <v>358</v>
      </c>
      <c r="B3" s="279" t="s">
        <v>365</v>
      </c>
      <c r="C3" s="5"/>
      <c r="J3" s="39">
        <v>1</v>
      </c>
      <c r="K3" s="39">
        <f>'Фасады EDGE MAX'!$C$8</f>
        <v>0</v>
      </c>
      <c r="L3" s="39" t="e">
        <f>INDEX(ПрофилиMAX[арт], MATCH(K3, ПрофилиMAX[профиль], 0))</f>
        <v>#N/A</v>
      </c>
      <c r="M3" s="39">
        <f>'Фасады EDGE MAX'!$M$8</f>
        <v>0</v>
      </c>
      <c r="N3" s="39" t="str">
        <f>IFERROR(INDEX(Вставки[арт],MATCH(M3,Вставки[вставка],0)),".")</f>
        <v>.</v>
      </c>
      <c r="O3" s="39" t="e">
        <f t="shared" ref="O3:O12" si="0">CONCATENATE("ST.",L3,".EDGE MAX.",N3)</f>
        <v>#N/A</v>
      </c>
      <c r="P3" s="270">
        <f>'Фасады EDGE MAX'!$K$8</f>
        <v>0</v>
      </c>
      <c r="Q3" s="270">
        <f>'Фасады EDGE MAX'!$Q$8</f>
        <v>0</v>
      </c>
      <c r="R3" s="270">
        <f>'Фасады EDGE MAX'!$G$8</f>
        <v>0</v>
      </c>
      <c r="S3" s="270">
        <f>'Фасады EDGE MAX'!$I$8</f>
        <v>0</v>
      </c>
      <c r="T3" s="273">
        <f>'Фасады EDGE MAX'!$W$8</f>
        <v>0</v>
      </c>
      <c r="U3" s="270">
        <f>'Фасады EDGE MAX'!$T$8</f>
        <v>0</v>
      </c>
      <c r="V3" s="428" t="e">
        <f>$B$30</f>
        <v>#N/A</v>
      </c>
      <c r="X3" s="161"/>
      <c r="Y3" s="191" t="s">
        <v>15</v>
      </c>
      <c r="Z3" s="191" t="s">
        <v>5</v>
      </c>
      <c r="AA3" s="191" t="s">
        <v>238</v>
      </c>
      <c r="AB3" s="191" t="s">
        <v>239</v>
      </c>
      <c r="AC3" s="195" t="s">
        <v>16</v>
      </c>
      <c r="AD3" s="196" t="s">
        <v>8</v>
      </c>
      <c r="AE3" s="191"/>
    </row>
    <row r="4" spans="1:31" ht="15" hidden="1" customHeight="1" outlineLevel="1" x14ac:dyDescent="0.3">
      <c r="A4" s="5" t="s">
        <v>376</v>
      </c>
      <c r="B4" s="279" t="e">
        <f>INDEX($L$3:$L$12, B2)</f>
        <v>#N/A</v>
      </c>
      <c r="C4" s="5"/>
      <c r="J4" s="39">
        <v>2</v>
      </c>
      <c r="K4" s="39">
        <f>'Фасады EDGE MAX'!$C$11</f>
        <v>0</v>
      </c>
      <c r="L4" s="39" t="e">
        <f>INDEX(ПрофилиMAX[арт], MATCH(K4, ПрофилиMAX[профиль], 0))</f>
        <v>#N/A</v>
      </c>
      <c r="M4" s="39">
        <f>'Фасады EDGE MAX'!$M$11</f>
        <v>0</v>
      </c>
      <c r="N4" s="39" t="str">
        <f>IFERROR(INDEX(Вставки[арт],MATCH(M4,Вставки[вставка],0)),".")</f>
        <v>.</v>
      </c>
      <c r="O4" s="39" t="e">
        <f t="shared" si="0"/>
        <v>#N/A</v>
      </c>
      <c r="P4" s="270">
        <f>'Фасады EDGE MAX'!$K$11</f>
        <v>0</v>
      </c>
      <c r="Q4" s="270">
        <f>'Фасады EDGE MAX'!$Q$11</f>
        <v>0</v>
      </c>
      <c r="R4" s="270">
        <f>'Фасады EDGE MAX'!$G$11</f>
        <v>0</v>
      </c>
      <c r="S4" s="270">
        <f>'Фасады EDGE MAX'!$I$11</f>
        <v>0</v>
      </c>
      <c r="T4" s="273">
        <f>'Фасады EDGE MAX'!$W$11</f>
        <v>0</v>
      </c>
      <c r="U4" s="270">
        <f>'Фасады EDGE MAX'!$T$11</f>
        <v>0</v>
      </c>
      <c r="V4" s="428" t="e">
        <f>$B$62</f>
        <v>#N/A</v>
      </c>
      <c r="X4" s="162">
        <v>1</v>
      </c>
      <c r="Y4" s="162" t="str">
        <f>B17</f>
        <v>Фасад, Рамочный узкий профиль</v>
      </c>
      <c r="Z4" s="166" t="e">
        <f>D17</f>
        <v>#N/A</v>
      </c>
      <c r="AA4" s="192">
        <f>ROUNDUP(F17/5400*1.1*AD4, 2)</f>
        <v>0</v>
      </c>
      <c r="AB4" s="194"/>
      <c r="AC4" s="162" t="str">
        <f>B5&amp;"мм-"&amp;B7&amp;"шт"</f>
        <v>0мм-0шт</v>
      </c>
      <c r="AD4" s="310">
        <f>B7</f>
        <v>0</v>
      </c>
      <c r="AE4" s="197" t="s">
        <v>240</v>
      </c>
    </row>
    <row r="5" spans="1:31" ht="15" hidden="1" customHeight="1" outlineLevel="1" x14ac:dyDescent="0.3">
      <c r="A5" s="5" t="s">
        <v>4</v>
      </c>
      <c r="B5" s="279">
        <f>INDEX($R$3:$R$12, B2)</f>
        <v>0</v>
      </c>
      <c r="C5" s="5"/>
      <c r="J5" s="39">
        <v>3</v>
      </c>
      <c r="K5" s="39">
        <f>'Фасады EDGE MAX'!$C$14</f>
        <v>0</v>
      </c>
      <c r="L5" s="39" t="e">
        <f>INDEX(ПрофилиMAX[арт], MATCH(K5, ПрофилиMAX[профиль], 0))</f>
        <v>#N/A</v>
      </c>
      <c r="M5" s="39">
        <f>'Фасады EDGE MAX'!$M$14</f>
        <v>0</v>
      </c>
      <c r="N5" s="39" t="str">
        <f>IFERROR(INDEX(Вставки[арт],MATCH(M5,Вставки[вставка],0)),".")</f>
        <v>.</v>
      </c>
      <c r="O5" s="39" t="e">
        <f t="shared" si="0"/>
        <v>#N/A</v>
      </c>
      <c r="P5" s="270">
        <f>'Фасады EDGE MAX'!$K$14</f>
        <v>0</v>
      </c>
      <c r="Q5" s="270">
        <f>'Фасады EDGE MAX'!$Q$14</f>
        <v>0</v>
      </c>
      <c r="R5" s="270">
        <f>'Фасады EDGE MAX'!$G$14</f>
        <v>0</v>
      </c>
      <c r="S5" s="270">
        <f>'Фасады EDGE MAX'!$I$14</f>
        <v>0</v>
      </c>
      <c r="T5" s="273">
        <f>'Фасады EDGE MAX'!$W$14</f>
        <v>0</v>
      </c>
      <c r="U5" s="270">
        <f>'Фасады EDGE MAX'!$T$14</f>
        <v>0</v>
      </c>
      <c r="V5" s="428" t="e">
        <f>$B$94</f>
        <v>#N/A</v>
      </c>
      <c r="X5" s="162">
        <v>2</v>
      </c>
      <c r="Y5" s="162" t="str">
        <f>B18</f>
        <v>Фасад, Рамочный узкий профиль</v>
      </c>
      <c r="Z5" s="166" t="e">
        <f>D18</f>
        <v>#N/A</v>
      </c>
      <c r="AA5" s="192">
        <f>ROUNDUP(F18/5400*1.1*AD5, 2)</f>
        <v>0</v>
      </c>
      <c r="AB5" s="162"/>
      <c r="AC5" s="162" t="str">
        <f>B6&amp;"мм-"&amp;B7&amp;"шт"</f>
        <v>0мм-0шт</v>
      </c>
      <c r="AD5" s="310">
        <f>B7</f>
        <v>0</v>
      </c>
      <c r="AE5" s="197" t="s">
        <v>240</v>
      </c>
    </row>
    <row r="6" spans="1:31" ht="15" hidden="1" customHeight="1" outlineLevel="1" x14ac:dyDescent="0.3">
      <c r="A6" s="5" t="s">
        <v>1</v>
      </c>
      <c r="B6" s="279">
        <f>INDEX($S$3:$S$12, B2)</f>
        <v>0</v>
      </c>
      <c r="D6" s="134"/>
      <c r="E6" s="124"/>
      <c r="F6" s="124"/>
      <c r="G6" s="124"/>
      <c r="J6" s="39">
        <v>4</v>
      </c>
      <c r="K6" s="39">
        <f>'Фасады EDGE MAX'!$C$17</f>
        <v>0</v>
      </c>
      <c r="L6" s="39" t="e">
        <f>INDEX(ПрофилиMAX[арт], MATCH(K6, ПрофилиMAX[профиль], 0))</f>
        <v>#N/A</v>
      </c>
      <c r="M6" s="39">
        <f>'Фасады EDGE MAX'!$M$17</f>
        <v>0</v>
      </c>
      <c r="N6" s="39" t="str">
        <f>IFERROR(INDEX(Вставки[арт],MATCH(M6,Вставки[вставка],0)),".")</f>
        <v>.</v>
      </c>
      <c r="O6" s="39" t="e">
        <f t="shared" si="0"/>
        <v>#N/A</v>
      </c>
      <c r="P6" s="270">
        <f>'Фасады EDGE MAX'!$K$17</f>
        <v>0</v>
      </c>
      <c r="Q6" s="270">
        <f>'Фасады EDGE MAX'!$Q$17</f>
        <v>0</v>
      </c>
      <c r="R6" s="270">
        <f>'Фасады EDGE MAX'!$G$17</f>
        <v>0</v>
      </c>
      <c r="S6" s="270">
        <f>'Фасады EDGE MAX'!$I$17</f>
        <v>0</v>
      </c>
      <c r="T6" s="273">
        <f>'Фасады EDGE MAX'!$W$17</f>
        <v>0</v>
      </c>
      <c r="U6" s="270">
        <f>'Фасады EDGE MAX'!$T$17</f>
        <v>0</v>
      </c>
      <c r="V6" s="428" t="e">
        <f>$B$126</f>
        <v>#N/A</v>
      </c>
      <c r="X6" s="162">
        <v>3</v>
      </c>
      <c r="Y6" s="164" t="str">
        <f>B19</f>
        <v>Фасад, Рамочный узкий профиль</v>
      </c>
      <c r="Z6" s="193" t="e">
        <f>D19</f>
        <v>#N/A</v>
      </c>
      <c r="AA6" s="192">
        <f>ROUNDUP(F19/5400*1.1*AD6, 2)</f>
        <v>0</v>
      </c>
      <c r="AB6" s="164"/>
      <c r="AC6" s="162" t="str">
        <f>B5&amp;"мм-"&amp;B7&amp;"шт"</f>
        <v>0мм-0шт</v>
      </c>
      <c r="AD6" s="310">
        <f>B7</f>
        <v>0</v>
      </c>
      <c r="AE6" s="197" t="s">
        <v>240</v>
      </c>
    </row>
    <row r="7" spans="1:31" ht="15" hidden="1" customHeight="1" outlineLevel="1" x14ac:dyDescent="0.3">
      <c r="A7" s="39" t="s">
        <v>72</v>
      </c>
      <c r="B7" s="280">
        <f>INDEX($T$3:$T$12, B2)</f>
        <v>0</v>
      </c>
      <c r="C7" s="40"/>
      <c r="D7" s="40"/>
      <c r="E7" s="40"/>
      <c r="F7" s="271"/>
      <c r="G7" s="271"/>
      <c r="J7" s="39">
        <v>5</v>
      </c>
      <c r="K7" s="39">
        <f>'Фасады EDGE MAX'!$C$20</f>
        <v>0</v>
      </c>
      <c r="L7" s="39" t="e">
        <f>INDEX(ПрофилиMAX[арт], MATCH(K7, ПрофилиMAX[профиль], 0))</f>
        <v>#N/A</v>
      </c>
      <c r="M7" s="39">
        <f>'Фасады EDGE MAX'!$M$20</f>
        <v>0</v>
      </c>
      <c r="N7" s="39" t="str">
        <f>IFERROR(INDEX(Вставки[арт],MATCH(M7,Вставки[вставка],0)),".")</f>
        <v>.</v>
      </c>
      <c r="O7" s="39" t="e">
        <f t="shared" si="0"/>
        <v>#N/A</v>
      </c>
      <c r="P7" s="270">
        <f>'Фасады EDGE MAX'!$K$20</f>
        <v>0</v>
      </c>
      <c r="Q7" s="270">
        <f>'Фасады EDGE MAX'!$Q$20</f>
        <v>0</v>
      </c>
      <c r="R7" s="270">
        <f>'Фасады EDGE MAX'!$G$20</f>
        <v>0</v>
      </c>
      <c r="S7" s="270">
        <f>'Фасады EDGE MAX'!$I$20</f>
        <v>0</v>
      </c>
      <c r="T7" s="273">
        <f>'Фасады EDGE MAX'!$W$20</f>
        <v>0</v>
      </c>
      <c r="U7" s="270">
        <f>'Фасады EDGE MAX'!$T$20</f>
        <v>0</v>
      </c>
      <c r="V7" s="428" t="e">
        <f>$B$158</f>
        <v>#N/A</v>
      </c>
      <c r="X7" s="162">
        <v>4</v>
      </c>
      <c r="Y7" s="164" t="str">
        <f>B20</f>
        <v>Фасад, Рамочный узкий профиль</v>
      </c>
      <c r="Z7" s="193" t="e">
        <f>D20</f>
        <v>#N/A</v>
      </c>
      <c r="AA7" s="192">
        <f>ROUNDUP(F20/5400*1.1*AD7, 2)</f>
        <v>0</v>
      </c>
      <c r="AB7" s="194"/>
      <c r="AC7" s="162" t="str">
        <f>B6&amp;"мм-"&amp;B7&amp;"шт"</f>
        <v>0мм-0шт</v>
      </c>
      <c r="AD7" s="310">
        <f>B7</f>
        <v>0</v>
      </c>
      <c r="AE7" s="197" t="s">
        <v>240</v>
      </c>
    </row>
    <row r="8" spans="1:31" ht="15" hidden="1" customHeight="1" outlineLevel="1" x14ac:dyDescent="0.3">
      <c r="A8" s="39" t="s">
        <v>360</v>
      </c>
      <c r="B8" s="269">
        <f>INDEX($M$3:$M$12, B2)</f>
        <v>0</v>
      </c>
      <c r="F8" s="124"/>
      <c r="G8" s="124"/>
      <c r="J8" s="39">
        <v>6</v>
      </c>
      <c r="K8" s="39">
        <f>'Фасады EDGE MAX'!$C$23</f>
        <v>0</v>
      </c>
      <c r="L8" s="39" t="e">
        <f>INDEX(ПрофилиMAX[арт], MATCH(K8, ПрофилиMAX[профиль], 0))</f>
        <v>#N/A</v>
      </c>
      <c r="M8" s="39">
        <f>'Фасады EDGE MAX'!$M$23</f>
        <v>0</v>
      </c>
      <c r="N8" s="39" t="str">
        <f>IFERROR(INDEX(Вставки[арт],MATCH(M8,Вставки[вставка],0)),".")</f>
        <v>.</v>
      </c>
      <c r="O8" s="39" t="e">
        <f t="shared" si="0"/>
        <v>#N/A</v>
      </c>
      <c r="P8" s="270">
        <f>'Фасады EDGE MAX'!$K$23</f>
        <v>0</v>
      </c>
      <c r="Q8" s="270">
        <f>'Фасады EDGE MAX'!$Q$23</f>
        <v>0</v>
      </c>
      <c r="R8" s="270">
        <f>'Фасады EDGE MAX'!$G$23</f>
        <v>0</v>
      </c>
      <c r="S8" s="270">
        <f>'Фасады EDGE MAX'!$I$23</f>
        <v>0</v>
      </c>
      <c r="T8" s="273">
        <f>'Фасады EDGE MAX'!$W$23</f>
        <v>0</v>
      </c>
      <c r="U8" s="270">
        <f>'Фасады EDGE MAX'!$T$23</f>
        <v>0</v>
      </c>
      <c r="V8" s="428" t="e">
        <f>$B$190</f>
        <v>#N/A</v>
      </c>
      <c r="X8" s="162">
        <v>5</v>
      </c>
      <c r="Y8" s="164">
        <f>B8</f>
        <v>0</v>
      </c>
      <c r="Z8" s="164" t="str">
        <f>B9</f>
        <v>.</v>
      </c>
      <c r="AA8" s="309">
        <f>B7</f>
        <v>0</v>
      </c>
      <c r="AB8" s="164" t="str">
        <f>CONCATENATE("В ",B11,", ","Ш ",B12)</f>
        <v>В -6, Ш -6</v>
      </c>
      <c r="AC8" s="164"/>
      <c r="AD8" s="310">
        <f>B7</f>
        <v>0</v>
      </c>
      <c r="AE8" s="197" t="s">
        <v>278</v>
      </c>
    </row>
    <row r="9" spans="1:31" ht="15" hidden="1" customHeight="1" outlineLevel="1" x14ac:dyDescent="0.3">
      <c r="A9" s="39" t="s">
        <v>381</v>
      </c>
      <c r="B9" s="269" t="str">
        <f>IFERROR(INDEX($N$3:$N$12, B2),0)</f>
        <v>.</v>
      </c>
      <c r="F9" s="124"/>
      <c r="G9" s="124"/>
      <c r="J9" s="39">
        <v>7</v>
      </c>
      <c r="K9" s="39">
        <f>'Фасады EDGE MAX'!$C$26</f>
        <v>0</v>
      </c>
      <c r="L9" s="39" t="e">
        <f>INDEX(ПрофилиMAX[арт], MATCH(K9, ПрофилиMAX[профиль], 0))</f>
        <v>#N/A</v>
      </c>
      <c r="M9" s="39">
        <f>'Фасады EDGE MAX'!$M$26</f>
        <v>0</v>
      </c>
      <c r="N9" s="39" t="str">
        <f>IFERROR(INDEX(Вставки[арт],MATCH(M9,Вставки[вставка],0)),".")</f>
        <v>.</v>
      </c>
      <c r="O9" s="39" t="e">
        <f t="shared" si="0"/>
        <v>#N/A</v>
      </c>
      <c r="P9" s="270">
        <f>'Фасады EDGE MAX'!$K$26</f>
        <v>0</v>
      </c>
      <c r="Q9" s="270">
        <f>'Фасады EDGE MAX'!$Q$26</f>
        <v>0</v>
      </c>
      <c r="R9" s="270">
        <f>'Фасады EDGE MAX'!$G$26</f>
        <v>0</v>
      </c>
      <c r="S9" s="270">
        <f>'Фасады EDGE MAX'!$I$26</f>
        <v>0</v>
      </c>
      <c r="T9" s="273">
        <f>'Фасады EDGE MAX'!$W$26</f>
        <v>0</v>
      </c>
      <c r="U9" s="270">
        <f>'Фасады EDGE MAX'!$T$26</f>
        <v>0</v>
      </c>
      <c r="V9" s="428" t="e">
        <f>$B$222</f>
        <v>#N/A</v>
      </c>
      <c r="X9" s="162">
        <v>6</v>
      </c>
      <c r="Y9" s="164" t="s">
        <v>242</v>
      </c>
      <c r="Z9" s="167" t="s">
        <v>243</v>
      </c>
      <c r="AA9" s="164">
        <f>IF(B5&gt;550,2*AD9,1*AD9)</f>
        <v>0</v>
      </c>
      <c r="AB9" s="164"/>
      <c r="AC9" s="164"/>
      <c r="AD9" s="310">
        <f>B7</f>
        <v>0</v>
      </c>
      <c r="AE9" s="197" t="s">
        <v>240</v>
      </c>
    </row>
    <row r="10" spans="1:31" ht="15" hidden="1" customHeight="1" outlineLevel="1" x14ac:dyDescent="0.3">
      <c r="A10" s="39" t="s">
        <v>398</v>
      </c>
      <c r="B10" s="281">
        <f>IFERROR(IF(B9=".", 0, VLOOKUP(B9, Ред!$B:$F, 4, 0)),0)</f>
        <v>0</v>
      </c>
      <c r="F10" s="124"/>
      <c r="G10" s="124"/>
      <c r="H10" s="124"/>
      <c r="J10" s="39">
        <v>8</v>
      </c>
      <c r="K10" s="39">
        <f>'Фасады EDGE MAX'!$C$29</f>
        <v>0</v>
      </c>
      <c r="L10" s="39" t="e">
        <f>INDEX(ПрофилиMAX[арт], MATCH(K10, ПрофилиMAX[профиль], 0))</f>
        <v>#N/A</v>
      </c>
      <c r="M10" s="39">
        <f>'Фасады EDGE MAX'!$M$29</f>
        <v>0</v>
      </c>
      <c r="N10" s="39" t="str">
        <f>IFERROR(INDEX(Вставки[арт],MATCH(M10,Вставки[вставка],0)),".")</f>
        <v>.</v>
      </c>
      <c r="O10" s="39" t="e">
        <f t="shared" si="0"/>
        <v>#N/A</v>
      </c>
      <c r="P10" s="270">
        <f>'Фасады EDGE MAX'!$K$29</f>
        <v>0</v>
      </c>
      <c r="Q10" s="270">
        <f>'Фасады EDGE MAX'!$Q$29</f>
        <v>0</v>
      </c>
      <c r="R10" s="270">
        <f>'Фасады EDGE MAX'!$G$29</f>
        <v>0</v>
      </c>
      <c r="S10" s="270">
        <f>'Фасады EDGE MAX'!$I$29</f>
        <v>0</v>
      </c>
      <c r="T10" s="273">
        <f>'Фасады EDGE MAX'!$W$29</f>
        <v>0</v>
      </c>
      <c r="U10" s="270">
        <f>'Фасады EDGE MAX'!$T$29</f>
        <v>0</v>
      </c>
      <c r="V10" s="428" t="e">
        <f>$B$254</f>
        <v>#N/A</v>
      </c>
      <c r="X10" s="162">
        <v>7</v>
      </c>
      <c r="Y10" s="164" t="s">
        <v>244</v>
      </c>
      <c r="Z10" s="167" t="s">
        <v>245</v>
      </c>
      <c r="AA10" s="164">
        <f>(B5+B6)*2/1000*AD10</f>
        <v>0</v>
      </c>
      <c r="AB10" s="164"/>
      <c r="AC10" s="164"/>
      <c r="AD10" s="310">
        <f>B7</f>
        <v>0</v>
      </c>
      <c r="AE10" s="197" t="s">
        <v>240</v>
      </c>
    </row>
    <row r="11" spans="1:31" s="40" customFormat="1" ht="15" hidden="1" customHeight="1" outlineLevel="1" x14ac:dyDescent="0.3">
      <c r="A11" s="39" t="s">
        <v>399</v>
      </c>
      <c r="B11" s="282">
        <f>B5-6</f>
        <v>-6</v>
      </c>
      <c r="C11" s="39"/>
      <c r="D11" s="39"/>
      <c r="E11" s="39"/>
      <c r="F11" s="124"/>
      <c r="G11" s="124"/>
      <c r="H11" s="271"/>
      <c r="J11" s="39">
        <v>9</v>
      </c>
      <c r="K11" s="39">
        <f>'Фасады EDGE MAX'!$C$32</f>
        <v>0</v>
      </c>
      <c r="L11" s="39" t="e">
        <f>INDEX(ПрофилиMAX[арт], MATCH(K11, ПрофилиMAX[профиль], 0))</f>
        <v>#N/A</v>
      </c>
      <c r="M11" s="39">
        <f>'Фасады EDGE MAX'!$M$32</f>
        <v>0</v>
      </c>
      <c r="N11" s="39" t="str">
        <f>IFERROR(INDEX(Вставки[арт],MATCH(M11,Вставки[вставка],0)),".")</f>
        <v>.</v>
      </c>
      <c r="O11" s="39" t="e">
        <f t="shared" si="0"/>
        <v>#N/A</v>
      </c>
      <c r="P11" s="271">
        <f>'Фасады EDGE MAX'!$K$32</f>
        <v>0</v>
      </c>
      <c r="Q11" s="271">
        <f>'Фасады EDGE MAX'!$Q$32</f>
        <v>0</v>
      </c>
      <c r="R11" s="271">
        <f>'Фасады EDGE MAX'!$G$32</f>
        <v>0</v>
      </c>
      <c r="S11" s="271">
        <f>'Фасады EDGE MAX'!$I$32</f>
        <v>0</v>
      </c>
      <c r="T11" s="274">
        <f>'Фасады EDGE MAX'!$W$32</f>
        <v>0</v>
      </c>
      <c r="U11" s="271">
        <f>'Фасады EDGE MAX'!$T$32</f>
        <v>0</v>
      </c>
      <c r="V11" s="429" t="e">
        <f>$B$286</f>
        <v>#N/A</v>
      </c>
      <c r="X11" s="162">
        <v>8</v>
      </c>
      <c r="Y11" s="165" t="s">
        <v>246</v>
      </c>
      <c r="Z11" s="167" t="s">
        <v>247</v>
      </c>
      <c r="AA11" s="164">
        <f>0.02*AD11</f>
        <v>0</v>
      </c>
      <c r="AB11" s="164"/>
      <c r="AC11" s="164"/>
      <c r="AD11" s="310">
        <f>B7</f>
        <v>0</v>
      </c>
      <c r="AE11" s="197" t="s">
        <v>240</v>
      </c>
    </row>
    <row r="12" spans="1:31" ht="15" hidden="1" customHeight="1" outlineLevel="1" x14ac:dyDescent="0.3">
      <c r="A12" s="39" t="s">
        <v>400</v>
      </c>
      <c r="B12" s="282">
        <f>B6-6</f>
        <v>-6</v>
      </c>
      <c r="C12" s="5"/>
      <c r="D12" s="124"/>
      <c r="E12" s="124"/>
      <c r="F12" s="124"/>
      <c r="G12" s="124"/>
      <c r="H12" s="124"/>
      <c r="J12" s="39">
        <v>10</v>
      </c>
      <c r="K12" s="39">
        <f>'Фасады EDGE MAX'!$C$35</f>
        <v>0</v>
      </c>
      <c r="L12" s="39" t="e">
        <f>INDEX(ПрофилиMAX[арт], MATCH(K12, ПрофилиMAX[профиль], 0))</f>
        <v>#N/A</v>
      </c>
      <c r="M12" s="39">
        <f>'Фасады EDGE MAX'!$M$35</f>
        <v>0</v>
      </c>
      <c r="N12" s="39" t="str">
        <f>IFERROR(INDEX(Вставки[арт],MATCH(M12,Вставки[вставка],0)),".")</f>
        <v>.</v>
      </c>
      <c r="O12" s="39" t="e">
        <f t="shared" si="0"/>
        <v>#N/A</v>
      </c>
      <c r="P12" s="270">
        <f>'Фасады EDGE MAX'!$K$35</f>
        <v>0</v>
      </c>
      <c r="Q12" s="270">
        <f>'Фасады EDGE MAX'!$Q$35</f>
        <v>0</v>
      </c>
      <c r="R12" s="270">
        <f>'Фасады EDGE MAX'!$G$35</f>
        <v>0</v>
      </c>
      <c r="S12" s="270">
        <f>'Фасады EDGE MAX'!$I$35</f>
        <v>0</v>
      </c>
      <c r="T12" s="273">
        <f>'Фасады EDGE MAX'!$W$35</f>
        <v>0</v>
      </c>
      <c r="U12" s="270">
        <f>'Фасады EDGE MAX'!$T$35</f>
        <v>0</v>
      </c>
      <c r="V12" s="428" t="e">
        <f>$B$318</f>
        <v>#N/A</v>
      </c>
      <c r="X12" s="162">
        <v>9</v>
      </c>
      <c r="Y12" s="164" t="s">
        <v>475</v>
      </c>
      <c r="Z12" s="167" t="s">
        <v>474</v>
      </c>
      <c r="AA12" s="193">
        <f>(((B6*2)/1000)+0.5)/66*B7</f>
        <v>0</v>
      </c>
      <c r="AB12" s="164"/>
      <c r="AC12" s="164"/>
      <c r="AD12" s="310">
        <f>B7</f>
        <v>0</v>
      </c>
      <c r="AE12" s="197" t="s">
        <v>240</v>
      </c>
    </row>
    <row r="13" spans="1:31" ht="15" hidden="1" customHeight="1" outlineLevel="1" x14ac:dyDescent="0.3">
      <c r="A13" s="39" t="s">
        <v>401</v>
      </c>
      <c r="B13" s="283">
        <f>B11*B12/1000000</f>
        <v>3.6000000000000001E-5</v>
      </c>
      <c r="C13" s="5"/>
      <c r="D13" s="124"/>
      <c r="E13" s="124"/>
      <c r="F13" s="124"/>
      <c r="G13" s="124"/>
      <c r="H13" s="124"/>
      <c r="X13" s="162">
        <v>10</v>
      </c>
      <c r="Y13" s="164" t="s">
        <v>248</v>
      </c>
      <c r="Z13" s="167" t="s">
        <v>249</v>
      </c>
      <c r="AA13" s="193">
        <f>((B6*8/1000)+0.5)/45*B7</f>
        <v>0</v>
      </c>
      <c r="AB13" s="164"/>
      <c r="AC13" s="164"/>
      <c r="AD13" s="310">
        <f>B7</f>
        <v>0</v>
      </c>
      <c r="AE13" s="197" t="s">
        <v>240</v>
      </c>
    </row>
    <row r="14" spans="1:31" ht="15" hidden="1" customHeight="1" outlineLevel="1" x14ac:dyDescent="0.3">
      <c r="A14" s="145" t="s">
        <v>402</v>
      </c>
      <c r="B14" s="284">
        <f>B10*B13*B7</f>
        <v>0</v>
      </c>
      <c r="H14" s="124"/>
      <c r="X14" s="188">
        <v>11</v>
      </c>
      <c r="Y14" s="189" t="s">
        <v>250</v>
      </c>
      <c r="Z14" s="190" t="s">
        <v>251</v>
      </c>
      <c r="AA14" s="189">
        <f>((B6*4/1000)+1)</f>
        <v>1</v>
      </c>
      <c r="AB14" s="189"/>
      <c r="AC14" s="189"/>
      <c r="AD14" s="311">
        <f>B7</f>
        <v>0</v>
      </c>
      <c r="AE14" s="197" t="s">
        <v>240</v>
      </c>
    </row>
    <row r="15" spans="1:31" ht="15" hidden="1" customHeight="1" outlineLevel="1" x14ac:dyDescent="0.3">
      <c r="A15" s="39" t="s">
        <v>576</v>
      </c>
      <c r="B15" s="356">
        <f>IFERROR(IF(D15,(B11+B12)/1000*2*F15*B7,0),0)</f>
        <v>0</v>
      </c>
      <c r="C15" s="39" t="s">
        <v>574</v>
      </c>
      <c r="D15" s="39">
        <f>IFERROR(INDEX(Вставки[Обработка],MATCH(B9,Вставки[арт],0)) = 1,0)</f>
        <v>0</v>
      </c>
      <c r="E15" s="39" t="s">
        <v>6</v>
      </c>
      <c r="F15" s="356">
        <f>Ред!$E$33</f>
        <v>520.27052307692293</v>
      </c>
      <c r="H15" s="124"/>
      <c r="X15" s="189">
        <v>12</v>
      </c>
      <c r="Y15" s="189" t="s">
        <v>279</v>
      </c>
      <c r="Z15" s="167" t="s">
        <v>280</v>
      </c>
      <c r="AA15" s="189">
        <v>1</v>
      </c>
      <c r="AB15" s="164"/>
      <c r="AC15" s="189"/>
      <c r="AD15" s="310">
        <v>1</v>
      </c>
      <c r="AE15" s="256" t="s">
        <v>240</v>
      </c>
    </row>
    <row r="16" spans="1:31" ht="15" hidden="1" customHeight="1" outlineLevel="1" x14ac:dyDescent="0.3">
      <c r="A16" s="5"/>
      <c r="B16" s="288" t="s">
        <v>15</v>
      </c>
      <c r="C16" s="289" t="s">
        <v>371</v>
      </c>
      <c r="D16" s="290" t="s">
        <v>5</v>
      </c>
      <c r="E16" s="290" t="s">
        <v>3</v>
      </c>
      <c r="F16" s="291" t="s">
        <v>380</v>
      </c>
      <c r="G16" s="291" t="s">
        <v>7</v>
      </c>
      <c r="H16" s="124"/>
      <c r="X16" s="162">
        <v>13</v>
      </c>
      <c r="Y16" s="49" t="e">
        <f>INDEX(Ред!$A:$A,MATCH(Z16,Ред!B:B,0))</f>
        <v>#N/A</v>
      </c>
      <c r="Z16" s="386">
        <f>B25</f>
        <v>0</v>
      </c>
      <c r="AA16" s="50">
        <f>D25</f>
        <v>0</v>
      </c>
      <c r="AB16" s="164"/>
      <c r="AC16" s="164"/>
      <c r="AD16" s="310">
        <f>AA16</f>
        <v>0</v>
      </c>
      <c r="AE16" s="164" t="s">
        <v>241</v>
      </c>
    </row>
    <row r="17" spans="1:31" ht="15" hidden="1" customHeight="1" outlineLevel="1" x14ac:dyDescent="0.3">
      <c r="A17" s="292" t="s">
        <v>104</v>
      </c>
      <c r="B17" s="49" t="str">
        <f>INDEX(ПрофилиMAXАрт[полноенаим],MATCH(B3&amp;C17,ПрофилиMAXАрт[поиск],0))</f>
        <v>Фасад, Рамочный узкий профиль</v>
      </c>
      <c r="C17" s="21" t="str">
        <f>IF(A17=INDEX($P$3:$P$12, B2), "Да", "Нет")</f>
        <v>Нет</v>
      </c>
      <c r="D17" s="48" t="e">
        <f>INDEX(ПрофилиMAXАрт[], MATCH(B17, ПрофилиMAXАрт[полноенаим], 0), MATCH(B4, ПрофилиMAXАрт[#Headers], 0))</f>
        <v>#N/A</v>
      </c>
      <c r="E17" s="293" t="e">
        <f>VLOOKUP(D17, Ред!$B:$F, 4, 0)</f>
        <v>#N/A</v>
      </c>
      <c r="F17" s="48">
        <f>B5+IF(C17="Да", 200, 100)</f>
        <v>100</v>
      </c>
      <c r="G17" s="293" t="e">
        <f>E17/5400*F17*B7</f>
        <v>#N/A</v>
      </c>
      <c r="H17" s="124"/>
      <c r="X17" s="164">
        <v>14</v>
      </c>
      <c r="Y17" s="164" t="e">
        <f>INDEX(Ред!$A:$A,MATCH(Z17,Ред!B:B,0))</f>
        <v>#N/A</v>
      </c>
      <c r="Z17" s="386">
        <f>B26</f>
        <v>0</v>
      </c>
      <c r="AA17" s="164">
        <f>ROUNDUP(D26/2.6,1)</f>
        <v>0</v>
      </c>
      <c r="AB17" s="164"/>
      <c r="AC17" s="164"/>
      <c r="AD17" s="310">
        <f>B7</f>
        <v>0</v>
      </c>
      <c r="AE17" s="164" t="s">
        <v>240</v>
      </c>
    </row>
    <row r="18" spans="1:31" ht="15" hidden="1" customHeight="1" outlineLevel="1" x14ac:dyDescent="0.3">
      <c r="A18" s="292" t="s">
        <v>210</v>
      </c>
      <c r="B18" s="49" t="str">
        <f>INDEX(ПрофилиMAXАрт[полноенаим],MATCH(B3&amp;C18,ПрофилиMAXАрт[поиск],0))</f>
        <v>Фасад, Рамочный узкий профиль</v>
      </c>
      <c r="C18" s="21" t="str">
        <f>IF(A18=INDEX($P$3:$P$12, B2), "Да", "Нет")</f>
        <v>Нет</v>
      </c>
      <c r="D18" s="48" t="e">
        <f>INDEX(ПрофилиMAXАрт[], MATCH(B18, ПрофилиMAXАрт[полноенаим], 0), MATCH(B4, ПрофилиMAXАрт[#Headers], 0))</f>
        <v>#N/A</v>
      </c>
      <c r="E18" s="293" t="e">
        <f>VLOOKUP(D18, Ред!$B:$F, 4, 0)</f>
        <v>#N/A</v>
      </c>
      <c r="F18" s="48">
        <f>B6+IF(C18="Да", 200, 100)</f>
        <v>100</v>
      </c>
      <c r="G18" s="293" t="e">
        <f>E18/5400*F18*B7</f>
        <v>#N/A</v>
      </c>
      <c r="H18" s="124"/>
      <c r="X18" s="164">
        <v>15</v>
      </c>
      <c r="Y18" s="164" t="e">
        <f>INDEX(Ред!$A:$A,MATCH(Z18,Ред!B:B,0))</f>
        <v>#N/A</v>
      </c>
      <c r="Z18" s="309">
        <f>B24</f>
        <v>0</v>
      </c>
      <c r="AA18" s="309">
        <f>D24</f>
        <v>0</v>
      </c>
      <c r="AB18" s="164"/>
      <c r="AC18" s="164"/>
      <c r="AD18" s="310">
        <f>B7</f>
        <v>0</v>
      </c>
      <c r="AE18" s="164" t="s">
        <v>241</v>
      </c>
    </row>
    <row r="19" spans="1:31" ht="15" hidden="1" customHeight="1" outlineLevel="1" x14ac:dyDescent="0.3">
      <c r="A19" s="292" t="s">
        <v>230</v>
      </c>
      <c r="B19" s="49" t="str">
        <f>INDEX(ПрофилиMAXАрт[полноенаим],MATCH(B3&amp;C19,ПрофилиMAXАрт[поиск],0))</f>
        <v>Фасад, Рамочный узкий профиль</v>
      </c>
      <c r="C19" s="21" t="str">
        <f>IF(A19=INDEX($P$3:$P$12, B2), "Да", "Нет")</f>
        <v>Нет</v>
      </c>
      <c r="D19" s="48" t="e">
        <f>INDEX(ПрофилиMAXАрт[], MATCH(B19, ПрофилиMAXАрт[полноенаим], 0), MATCH(B4, ПрофилиMAXАрт[#Headers], 0))</f>
        <v>#N/A</v>
      </c>
      <c r="E19" s="293" t="e">
        <f>VLOOKUP(D19, Ред!$B:$F, 4, 0)</f>
        <v>#N/A</v>
      </c>
      <c r="F19" s="48">
        <f>B5+IF(C19="Да", 200, 100)</f>
        <v>100</v>
      </c>
      <c r="G19" s="293" t="e">
        <f>E19/5400*F19*B7</f>
        <v>#N/A</v>
      </c>
      <c r="H19" s="124"/>
    </row>
    <row r="20" spans="1:31" ht="15" hidden="1" customHeight="1" outlineLevel="1" x14ac:dyDescent="0.3">
      <c r="A20" s="292" t="s">
        <v>211</v>
      </c>
      <c r="B20" s="49" t="str">
        <f>INDEX(ПрофилиMAXАрт[полноенаим],MATCH(B3&amp;C20,ПрофилиMAXАрт[поиск],0))</f>
        <v>Фасад, Рамочный узкий профиль</v>
      </c>
      <c r="C20" s="21" t="str">
        <f>IF(A20=INDEX($P$3:$P$12, B2), "Да", "Нет")</f>
        <v>Нет</v>
      </c>
      <c r="D20" s="48" t="e">
        <f>INDEX(ПрофилиMAXАрт[], MATCH(B20, ПрофилиMAXАрт[полноенаим], 0), MATCH(B4, ПрофилиMAXАрт[#Headers], 0))</f>
        <v>#N/A</v>
      </c>
      <c r="E20" s="293" t="e">
        <f>VLOOKUP(D20, Ред!$B:$F, 4, 0)</f>
        <v>#N/A</v>
      </c>
      <c r="F20" s="48">
        <f>B6+IF(C20="Да", 200, 100)</f>
        <v>100</v>
      </c>
      <c r="G20" s="293" t="e">
        <f>E20/5400*F20*B7</f>
        <v>#N/A</v>
      </c>
      <c r="H20" s="124"/>
    </row>
    <row r="21" spans="1:31" ht="15" hidden="1" customHeight="1" outlineLevel="1" x14ac:dyDescent="0.3">
      <c r="H21" s="124"/>
    </row>
    <row r="22" spans="1:31" ht="15" hidden="1" customHeight="1" outlineLevel="1" thickBot="1" x14ac:dyDescent="0.35">
      <c r="A22" s="297" t="s">
        <v>676</v>
      </c>
      <c r="B22" s="298" t="s">
        <v>389</v>
      </c>
      <c r="C22" s="299">
        <f>INDEX($Q$3:$Q$12, B2)</f>
        <v>0</v>
      </c>
      <c r="H22" s="124"/>
    </row>
    <row r="23" spans="1:31" ht="15" hidden="1" customHeight="1" outlineLevel="1" x14ac:dyDescent="0.3">
      <c r="B23" s="296" t="s">
        <v>390</v>
      </c>
      <c r="C23" s="19" t="s">
        <v>6</v>
      </c>
      <c r="D23" s="48" t="s">
        <v>379</v>
      </c>
      <c r="E23" s="48" t="s">
        <v>270</v>
      </c>
      <c r="F23" s="124"/>
      <c r="G23" s="124"/>
      <c r="H23" s="124"/>
    </row>
    <row r="24" spans="1:31" ht="15" hidden="1" customHeight="1" outlineLevel="1" x14ac:dyDescent="0.3">
      <c r="A24" s="294" t="s">
        <v>382</v>
      </c>
      <c r="B24" s="295">
        <f>IFERROR(INDEX(ФурнитураMAX[Петли], MATCH(C22,ФурнитураMAX[Цвет петель], 0)),0)</f>
        <v>0</v>
      </c>
      <c r="C24" s="293">
        <f>IFERROR(VLOOKUP(B24, Ред!$B:$F, 4, 0),0)</f>
        <v>0</v>
      </c>
      <c r="D24" s="50">
        <f>IF(INDEX($U$3:$U$12, B2)=0, 0, B7)</f>
        <v>0</v>
      </c>
      <c r="E24" s="48">
        <f>C24*D24</f>
        <v>0</v>
      </c>
      <c r="F24" s="124"/>
      <c r="G24" s="124"/>
      <c r="H24" s="124"/>
    </row>
    <row r="25" spans="1:31" ht="15" hidden="1" customHeight="1" outlineLevel="1" x14ac:dyDescent="0.3">
      <c r="A25" s="294" t="s">
        <v>383</v>
      </c>
      <c r="B25" s="295">
        <f>IFERROR(INDEX(ФурнитураMAX[Уголок], MATCH(C22,ФурнитураMAX[Цвет петель], 0)),0)</f>
        <v>0</v>
      </c>
      <c r="C25" s="293">
        <f>IFERROR(IF(B25="Нет", 0, VLOOKUP(B25, Ред!$B:$F, 4, 0)),0)</f>
        <v>0</v>
      </c>
      <c r="D25" s="50">
        <f>B7</f>
        <v>0</v>
      </c>
      <c r="E25" s="48">
        <f>C25*D25</f>
        <v>0</v>
      </c>
      <c r="H25" s="124"/>
    </row>
    <row r="26" spans="1:31" ht="15" hidden="1" customHeight="1" outlineLevel="1" x14ac:dyDescent="0.3">
      <c r="A26" s="294" t="s">
        <v>384</v>
      </c>
      <c r="B26" s="295">
        <f>IFERROR(INDEX(ФурнитураMAX[Уплотнитель], MATCH(C22,ФурнитураMAX[Цвет петель], 0)),0)</f>
        <v>0</v>
      </c>
      <c r="C26" s="293">
        <f>IFERROR(VLOOKUP(B26, Ред!$B:$F, 4, 0)/3,0)</f>
        <v>0</v>
      </c>
      <c r="D26" s="49">
        <f>CEILING((B5+B6)*2*B7/1000,1)</f>
        <v>0</v>
      </c>
      <c r="E26" s="48">
        <f>C26*D26</f>
        <v>0</v>
      </c>
      <c r="H26" s="124"/>
    </row>
    <row r="27" spans="1:31" ht="15" hidden="1" customHeight="1" outlineLevel="1" x14ac:dyDescent="0.3">
      <c r="A27" s="70" t="s">
        <v>97</v>
      </c>
      <c r="B27" s="300"/>
      <c r="C27" s="71"/>
      <c r="D27" s="301"/>
      <c r="E27" s="71">
        <v>413</v>
      </c>
      <c r="F27" s="124"/>
      <c r="G27" s="124"/>
      <c r="H27" s="124"/>
    </row>
    <row r="28" spans="1:31" ht="15" hidden="1" customHeight="1" outlineLevel="1" x14ac:dyDescent="0.3">
      <c r="A28" s="70" t="s">
        <v>98</v>
      </c>
      <c r="B28" s="71"/>
      <c r="C28" s="71"/>
      <c r="D28" s="71"/>
      <c r="E28" s="71">
        <v>413</v>
      </c>
      <c r="H28" s="124"/>
    </row>
    <row r="29" spans="1:31" ht="15" hidden="1" customHeight="1" outlineLevel="1" x14ac:dyDescent="0.3"/>
    <row r="30" spans="1:31" ht="15" hidden="1" customHeight="1" outlineLevel="1" thickBot="1" x14ac:dyDescent="0.35">
      <c r="A30" s="302" t="s">
        <v>395</v>
      </c>
      <c r="B30" s="285" t="e">
        <f>SUM(B14, B15, G17:G20, E24:E28)</f>
        <v>#N/A</v>
      </c>
      <c r="C30" s="385" t="e">
        <f>SUM(B14:B15, G17:G20, E26:E28)</f>
        <v>#N/A</v>
      </c>
      <c r="F30" s="278"/>
    </row>
    <row r="31" spans="1:31" ht="15" hidden="1" customHeight="1" outlineLevel="1" thickTop="1" x14ac:dyDescent="0.3">
      <c r="H31" s="124"/>
    </row>
    <row r="32" spans="1:31" hidden="1" outlineLevel="1" x14ac:dyDescent="0.3"/>
    <row r="33" spans="1:31" ht="16.2" hidden="1" outlineLevel="1" thickBot="1" x14ac:dyDescent="0.35">
      <c r="A33" s="145"/>
      <c r="B33" s="134"/>
      <c r="C33" s="5"/>
      <c r="X33" s="661" t="s">
        <v>261</v>
      </c>
      <c r="Y33" s="661"/>
      <c r="Z33" s="661"/>
      <c r="AA33" s="661"/>
      <c r="AB33" s="661"/>
      <c r="AC33" s="661"/>
      <c r="AD33" s="661"/>
      <c r="AE33" s="661"/>
    </row>
    <row r="34" spans="1:31" ht="15" customHeight="1" collapsed="1" thickTop="1" thickBot="1" x14ac:dyDescent="0.45">
      <c r="A34" s="286" t="s">
        <v>396</v>
      </c>
      <c r="B34" s="287">
        <v>2</v>
      </c>
      <c r="X34" s="147" t="s">
        <v>115</v>
      </c>
      <c r="Y34" s="147" t="s">
        <v>232</v>
      </c>
      <c r="Z34" s="147" t="s">
        <v>233</v>
      </c>
      <c r="AA34" s="163" t="s">
        <v>149</v>
      </c>
      <c r="AB34" s="147" t="s">
        <v>234</v>
      </c>
      <c r="AC34" s="147" t="s">
        <v>235</v>
      </c>
      <c r="AD34" s="148" t="s">
        <v>236</v>
      </c>
      <c r="AE34" s="147" t="s">
        <v>237</v>
      </c>
    </row>
    <row r="35" spans="1:31" ht="15" hidden="1" customHeight="1" outlineLevel="1" thickTop="1" x14ac:dyDescent="0.3">
      <c r="A35" s="134" t="s">
        <v>358</v>
      </c>
      <c r="B35" s="279" t="s">
        <v>365</v>
      </c>
      <c r="C35" s="5"/>
      <c r="X35" s="161"/>
      <c r="Y35" s="191" t="s">
        <v>15</v>
      </c>
      <c r="Z35" s="191" t="s">
        <v>5</v>
      </c>
      <c r="AA35" s="191" t="s">
        <v>238</v>
      </c>
      <c r="AB35" s="191" t="s">
        <v>239</v>
      </c>
      <c r="AC35" s="195" t="s">
        <v>16</v>
      </c>
      <c r="AD35" s="196" t="s">
        <v>8</v>
      </c>
      <c r="AE35" s="191"/>
    </row>
    <row r="36" spans="1:31" ht="15" hidden="1" customHeight="1" outlineLevel="1" x14ac:dyDescent="0.3">
      <c r="A36" s="5" t="s">
        <v>376</v>
      </c>
      <c r="B36" s="279" t="e">
        <f>INDEX($L$3:$L$12, B34)</f>
        <v>#N/A</v>
      </c>
      <c r="C36" s="5"/>
      <c r="X36" s="162">
        <v>1</v>
      </c>
      <c r="Y36" s="162" t="str">
        <f>B49</f>
        <v>Фасад, Рамочный узкий профиль</v>
      </c>
      <c r="Z36" s="166" t="e">
        <f>D49</f>
        <v>#N/A</v>
      </c>
      <c r="AA36" s="192">
        <f>ROUNDUP(F49/5400*1.1*AD36, 2)</f>
        <v>0</v>
      </c>
      <c r="AB36" s="194"/>
      <c r="AC36" s="162" t="str">
        <f>B37&amp;"мм-"&amp;B39&amp;"шт"</f>
        <v>0мм-0шт</v>
      </c>
      <c r="AD36" s="310">
        <f>B39</f>
        <v>0</v>
      </c>
      <c r="AE36" s="197" t="s">
        <v>240</v>
      </c>
    </row>
    <row r="37" spans="1:31" ht="15" hidden="1" customHeight="1" outlineLevel="1" x14ac:dyDescent="0.3">
      <c r="A37" s="5" t="s">
        <v>4</v>
      </c>
      <c r="B37" s="279">
        <f>INDEX($R$3:$R$12, B34)</f>
        <v>0</v>
      </c>
      <c r="C37" s="5"/>
      <c r="X37" s="162">
        <v>2</v>
      </c>
      <c r="Y37" s="162" t="str">
        <f>B50</f>
        <v>Фасад, Рамочный узкий профиль</v>
      </c>
      <c r="Z37" s="166" t="e">
        <f>D50</f>
        <v>#N/A</v>
      </c>
      <c r="AA37" s="192">
        <f>ROUNDUP(F50/5400*1.1*AD37, 2)</f>
        <v>0</v>
      </c>
      <c r="AB37" s="162"/>
      <c r="AC37" s="162" t="str">
        <f>B38&amp;"мм-"&amp;B39&amp;"шт"</f>
        <v>0мм-0шт</v>
      </c>
      <c r="AD37" s="310">
        <f>B39</f>
        <v>0</v>
      </c>
      <c r="AE37" s="197" t="s">
        <v>240</v>
      </c>
    </row>
    <row r="38" spans="1:31" ht="15" hidden="1" customHeight="1" outlineLevel="1" x14ac:dyDescent="0.3">
      <c r="A38" s="5" t="s">
        <v>1</v>
      </c>
      <c r="B38" s="279">
        <f>INDEX($S$3:$S$12, B34)</f>
        <v>0</v>
      </c>
      <c r="D38" s="134"/>
      <c r="E38" s="124"/>
      <c r="F38" s="124"/>
      <c r="G38" s="124"/>
      <c r="X38" s="162">
        <v>3</v>
      </c>
      <c r="Y38" s="164" t="str">
        <f>B51</f>
        <v>Фасад, Рамочный узкий профиль</v>
      </c>
      <c r="Z38" s="193" t="e">
        <f>D51</f>
        <v>#N/A</v>
      </c>
      <c r="AA38" s="192">
        <f>ROUNDUP(F51/5400*1.1*AD38, 2)</f>
        <v>0</v>
      </c>
      <c r="AB38" s="164"/>
      <c r="AC38" s="162" t="str">
        <f>B37&amp;"мм-"&amp;B39&amp;"шт"</f>
        <v>0мм-0шт</v>
      </c>
      <c r="AD38" s="310">
        <f>B39</f>
        <v>0</v>
      </c>
      <c r="AE38" s="197" t="s">
        <v>240</v>
      </c>
    </row>
    <row r="39" spans="1:31" ht="15" hidden="1" customHeight="1" outlineLevel="1" x14ac:dyDescent="0.3">
      <c r="A39" s="39" t="s">
        <v>72</v>
      </c>
      <c r="B39" s="280">
        <f>INDEX($T$3:$T$12, B34)</f>
        <v>0</v>
      </c>
      <c r="C39" s="40"/>
      <c r="D39" s="40"/>
      <c r="E39" s="40"/>
      <c r="F39" s="271"/>
      <c r="G39" s="271"/>
      <c r="X39" s="162">
        <v>4</v>
      </c>
      <c r="Y39" s="164" t="str">
        <f>B52</f>
        <v>Фасад, Рамочный узкий профиль</v>
      </c>
      <c r="Z39" s="193" t="e">
        <f>D52</f>
        <v>#N/A</v>
      </c>
      <c r="AA39" s="192">
        <f>ROUNDUP(F52/5400*1.1*AD39, 2)</f>
        <v>0</v>
      </c>
      <c r="AB39" s="194"/>
      <c r="AC39" s="162" t="str">
        <f>B38&amp;"мм-"&amp;B39&amp;"шт"</f>
        <v>0мм-0шт</v>
      </c>
      <c r="AD39" s="310">
        <f>B39</f>
        <v>0</v>
      </c>
      <c r="AE39" s="197" t="s">
        <v>240</v>
      </c>
    </row>
    <row r="40" spans="1:31" ht="15" hidden="1" customHeight="1" outlineLevel="1" x14ac:dyDescent="0.3">
      <c r="A40" s="39" t="s">
        <v>360</v>
      </c>
      <c r="B40" s="269">
        <f>INDEX($M$3:$M$12, B34)</f>
        <v>0</v>
      </c>
      <c r="F40" s="124"/>
      <c r="G40" s="124"/>
      <c r="X40" s="162">
        <v>5</v>
      </c>
      <c r="Y40" s="164">
        <f>B40</f>
        <v>0</v>
      </c>
      <c r="Z40" s="164" t="str">
        <f>B41</f>
        <v>.</v>
      </c>
      <c r="AA40" s="309">
        <f>B39</f>
        <v>0</v>
      </c>
      <c r="AB40" s="164" t="str">
        <f>CONCATENATE("В ",B43,", ","Ш ",B44)</f>
        <v>В -6, Ш -6</v>
      </c>
      <c r="AC40" s="164"/>
      <c r="AD40" s="310">
        <f>B39</f>
        <v>0</v>
      </c>
      <c r="AE40" s="197" t="s">
        <v>278</v>
      </c>
    </row>
    <row r="41" spans="1:31" ht="15" hidden="1" customHeight="1" outlineLevel="1" x14ac:dyDescent="0.3">
      <c r="A41" s="39" t="s">
        <v>381</v>
      </c>
      <c r="B41" s="269" t="str">
        <f>IFERROR(INDEX($N$3:$N$12, B34),0)</f>
        <v>.</v>
      </c>
      <c r="F41" s="124"/>
      <c r="G41" s="124"/>
      <c r="X41" s="162">
        <v>6</v>
      </c>
      <c r="Y41" s="164" t="s">
        <v>242</v>
      </c>
      <c r="Z41" s="167" t="s">
        <v>243</v>
      </c>
      <c r="AA41" s="164">
        <f>IF(B37&gt;550,2*AD41,1*AD41)</f>
        <v>0</v>
      </c>
      <c r="AB41" s="164"/>
      <c r="AC41" s="164"/>
      <c r="AD41" s="310">
        <f>B39</f>
        <v>0</v>
      </c>
      <c r="AE41" s="197" t="s">
        <v>240</v>
      </c>
    </row>
    <row r="42" spans="1:31" ht="15" hidden="1" customHeight="1" outlineLevel="1" x14ac:dyDescent="0.3">
      <c r="A42" s="39" t="s">
        <v>398</v>
      </c>
      <c r="B42" s="281">
        <f>IFERROR(IF(B41=".", 0, VLOOKUP(B41, Ред!$B:$F, 4, 0)),0)</f>
        <v>0</v>
      </c>
      <c r="F42" s="124"/>
      <c r="G42" s="124"/>
      <c r="H42" s="124"/>
      <c r="X42" s="162">
        <v>7</v>
      </c>
      <c r="Y42" s="164" t="s">
        <v>244</v>
      </c>
      <c r="Z42" s="167" t="s">
        <v>245</v>
      </c>
      <c r="AA42" s="164">
        <f>(B37+B38)*2/1000*AD42</f>
        <v>0</v>
      </c>
      <c r="AB42" s="164"/>
      <c r="AC42" s="164"/>
      <c r="AD42" s="310">
        <f>B39</f>
        <v>0</v>
      </c>
      <c r="AE42" s="197" t="s">
        <v>240</v>
      </c>
    </row>
    <row r="43" spans="1:31" s="40" customFormat="1" ht="15" hidden="1" customHeight="1" outlineLevel="1" x14ac:dyDescent="0.3">
      <c r="A43" s="39" t="s">
        <v>399</v>
      </c>
      <c r="B43" s="282">
        <f>B37-6</f>
        <v>-6</v>
      </c>
      <c r="C43" s="39"/>
      <c r="D43" s="39"/>
      <c r="E43" s="39"/>
      <c r="F43" s="124"/>
      <c r="G43" s="124"/>
      <c r="X43" s="162">
        <v>8</v>
      </c>
      <c r="Y43" s="165" t="s">
        <v>246</v>
      </c>
      <c r="Z43" s="167" t="s">
        <v>247</v>
      </c>
      <c r="AA43" s="164">
        <f>0.02*AD43</f>
        <v>0</v>
      </c>
      <c r="AB43" s="164"/>
      <c r="AC43" s="164"/>
      <c r="AD43" s="310">
        <f>B39</f>
        <v>0</v>
      </c>
      <c r="AE43" s="197" t="s">
        <v>240</v>
      </c>
    </row>
    <row r="44" spans="1:31" ht="15" hidden="1" customHeight="1" outlineLevel="1" x14ac:dyDescent="0.3">
      <c r="A44" s="39" t="s">
        <v>400</v>
      </c>
      <c r="B44" s="282">
        <f>B38-6</f>
        <v>-6</v>
      </c>
      <c r="C44" s="5"/>
      <c r="D44" s="124"/>
      <c r="E44" s="124"/>
      <c r="F44" s="124"/>
      <c r="G44" s="124"/>
      <c r="H44" s="124"/>
      <c r="X44" s="162">
        <v>9</v>
      </c>
      <c r="Y44" s="164" t="s">
        <v>475</v>
      </c>
      <c r="Z44" s="167" t="s">
        <v>474</v>
      </c>
      <c r="AA44" s="193">
        <f>(((B38*2)/1000)+0.5)/66*B39</f>
        <v>0</v>
      </c>
      <c r="AB44" s="164"/>
      <c r="AC44" s="164"/>
      <c r="AD44" s="310">
        <f>B39</f>
        <v>0</v>
      </c>
      <c r="AE44" s="197" t="s">
        <v>240</v>
      </c>
    </row>
    <row r="45" spans="1:31" ht="15" hidden="1" customHeight="1" outlineLevel="1" x14ac:dyDescent="0.3">
      <c r="A45" s="39" t="s">
        <v>401</v>
      </c>
      <c r="B45" s="283">
        <f>B43*B44/1000000</f>
        <v>3.6000000000000001E-5</v>
      </c>
      <c r="C45" s="5"/>
      <c r="D45" s="124"/>
      <c r="E45" s="124"/>
      <c r="F45" s="124"/>
      <c r="G45" s="124"/>
      <c r="H45" s="124"/>
      <c r="X45" s="162">
        <v>10</v>
      </c>
      <c r="Y45" s="164" t="s">
        <v>248</v>
      </c>
      <c r="Z45" s="167" t="s">
        <v>249</v>
      </c>
      <c r="AA45" s="193">
        <f>((B38*8/1000)+0.5)/45*B39</f>
        <v>0</v>
      </c>
      <c r="AB45" s="164"/>
      <c r="AC45" s="164"/>
      <c r="AD45" s="310">
        <f>B39</f>
        <v>0</v>
      </c>
      <c r="AE45" s="197" t="s">
        <v>240</v>
      </c>
    </row>
    <row r="46" spans="1:31" ht="15" hidden="1" customHeight="1" outlineLevel="1" x14ac:dyDescent="0.3">
      <c r="A46" s="145" t="s">
        <v>402</v>
      </c>
      <c r="B46" s="284">
        <f>B42*B45*B39</f>
        <v>0</v>
      </c>
      <c r="H46" s="124"/>
      <c r="X46" s="188">
        <v>11</v>
      </c>
      <c r="Y46" s="189" t="s">
        <v>250</v>
      </c>
      <c r="Z46" s="190" t="s">
        <v>251</v>
      </c>
      <c r="AA46" s="189">
        <f>((B38*4/1000)+1)</f>
        <v>1</v>
      </c>
      <c r="AB46" s="189"/>
      <c r="AC46" s="189"/>
      <c r="AD46" s="311">
        <f>B39</f>
        <v>0</v>
      </c>
      <c r="AE46" s="197" t="s">
        <v>240</v>
      </c>
    </row>
    <row r="47" spans="1:31" ht="15" hidden="1" customHeight="1" outlineLevel="1" x14ac:dyDescent="0.3">
      <c r="A47" s="39" t="s">
        <v>576</v>
      </c>
      <c r="B47" s="356">
        <f>IFERROR(IF(D47,(B43+B44)/1000*2*F47*B39,0),0)</f>
        <v>0</v>
      </c>
      <c r="C47" s="39" t="s">
        <v>574</v>
      </c>
      <c r="D47" s="39">
        <f>IFERROR(INDEX(Вставки[Обработка],MATCH(B41,Вставки[арт],0)) = 1,0)</f>
        <v>0</v>
      </c>
      <c r="E47" s="39" t="s">
        <v>6</v>
      </c>
      <c r="F47" s="356">
        <f>Ред!$E$33</f>
        <v>520.27052307692293</v>
      </c>
      <c r="H47" s="124"/>
      <c r="X47" s="189">
        <v>12</v>
      </c>
      <c r="Y47" s="189" t="s">
        <v>279</v>
      </c>
      <c r="Z47" s="167" t="s">
        <v>280</v>
      </c>
      <c r="AA47" s="189">
        <v>1</v>
      </c>
      <c r="AB47" s="164"/>
      <c r="AC47" s="189"/>
      <c r="AD47" s="310">
        <v>1</v>
      </c>
      <c r="AE47" s="256" t="s">
        <v>240</v>
      </c>
    </row>
    <row r="48" spans="1:31" ht="15" hidden="1" customHeight="1" outlineLevel="1" x14ac:dyDescent="0.3">
      <c r="A48" s="5"/>
      <c r="B48" s="288" t="s">
        <v>15</v>
      </c>
      <c r="C48" s="289" t="s">
        <v>371</v>
      </c>
      <c r="D48" s="290" t="s">
        <v>5</v>
      </c>
      <c r="E48" s="290" t="s">
        <v>3</v>
      </c>
      <c r="F48" s="291" t="s">
        <v>380</v>
      </c>
      <c r="G48" s="291" t="s">
        <v>7</v>
      </c>
      <c r="H48" s="124"/>
      <c r="X48" s="162">
        <v>13</v>
      </c>
      <c r="Y48" s="49" t="e">
        <f>INDEX(Ред!$A:$A,MATCH(Z48,Ред!B:B,0))</f>
        <v>#N/A</v>
      </c>
      <c r="Z48" s="386">
        <f>B57</f>
        <v>0</v>
      </c>
      <c r="AA48" s="50">
        <f>D57</f>
        <v>0</v>
      </c>
      <c r="AB48" s="164"/>
      <c r="AC48" s="164"/>
      <c r="AD48" s="310">
        <f>AA48</f>
        <v>0</v>
      </c>
      <c r="AE48" s="164" t="s">
        <v>241</v>
      </c>
    </row>
    <row r="49" spans="1:31" ht="15" hidden="1" customHeight="1" outlineLevel="1" x14ac:dyDescent="0.3">
      <c r="A49" s="292" t="s">
        <v>104</v>
      </c>
      <c r="B49" s="49" t="str">
        <f>INDEX(ПрофилиMAXАрт[полноенаим],MATCH(B35&amp;C49,ПрофилиMAXАрт[поиск],0))</f>
        <v>Фасад, Рамочный узкий профиль</v>
      </c>
      <c r="C49" s="21" t="str">
        <f>IF(A49=INDEX($P$3:$P$12, B34), "Да", "Нет")</f>
        <v>Нет</v>
      </c>
      <c r="D49" s="48" t="e">
        <f>INDEX(ПрофилиMAXАрт[], MATCH(B49, ПрофилиMAXАрт[полноенаим], 0), MATCH(B36, ПрофилиMAXАрт[#Headers], 0))</f>
        <v>#N/A</v>
      </c>
      <c r="E49" s="293" t="e">
        <f>VLOOKUP(D49, Ред!$B:$F, 4, 0)</f>
        <v>#N/A</v>
      </c>
      <c r="F49" s="48">
        <f>B37+IF(C49="Да", 200, 100)</f>
        <v>100</v>
      </c>
      <c r="G49" s="293" t="e">
        <f>E49/5400*F49*B39</f>
        <v>#N/A</v>
      </c>
      <c r="H49" s="124"/>
      <c r="X49" s="164">
        <v>14</v>
      </c>
      <c r="Y49" s="164" t="e">
        <f>INDEX(Ред!$A:$A,MATCH(Z49,Ред!B:B,0))</f>
        <v>#N/A</v>
      </c>
      <c r="Z49" s="386">
        <f>B58</f>
        <v>0</v>
      </c>
      <c r="AA49" s="164">
        <f>ROUNDUP(D58/2.6,1)</f>
        <v>0</v>
      </c>
      <c r="AB49" s="164"/>
      <c r="AC49" s="164"/>
      <c r="AD49" s="310">
        <f>B39</f>
        <v>0</v>
      </c>
      <c r="AE49" s="164" t="s">
        <v>240</v>
      </c>
    </row>
    <row r="50" spans="1:31" ht="15" hidden="1" customHeight="1" outlineLevel="1" x14ac:dyDescent="0.3">
      <c r="A50" s="292" t="s">
        <v>210</v>
      </c>
      <c r="B50" s="49" t="str">
        <f>INDEX(ПрофилиMAXАрт[полноенаим],MATCH(B35&amp;C50,ПрофилиMAXАрт[поиск],0))</f>
        <v>Фасад, Рамочный узкий профиль</v>
      </c>
      <c r="C50" s="21" t="str">
        <f>IF(A50=INDEX($P$3:$P$12, B34), "Да", "Нет")</f>
        <v>Нет</v>
      </c>
      <c r="D50" s="48" t="e">
        <f>INDEX(ПрофилиMAXАрт[], MATCH(B50, ПрофилиMAXАрт[полноенаим], 0), MATCH(B36, ПрофилиMAXАрт[#Headers], 0))</f>
        <v>#N/A</v>
      </c>
      <c r="E50" s="293" t="e">
        <f>VLOOKUP(D50, Ред!$B:$F, 4, 0)</f>
        <v>#N/A</v>
      </c>
      <c r="F50" s="48">
        <f>B38+IF(C50="Да", 200, 100)</f>
        <v>100</v>
      </c>
      <c r="G50" s="293" t="e">
        <f>E50/5400*F50*B39</f>
        <v>#N/A</v>
      </c>
      <c r="H50" s="124"/>
      <c r="X50" s="164">
        <v>15</v>
      </c>
      <c r="Y50" s="164" t="e">
        <f>INDEX(Ред!$A:$A,MATCH(Z50,Ред!B:B,0))</f>
        <v>#N/A</v>
      </c>
      <c r="Z50" s="386">
        <f>B56</f>
        <v>0</v>
      </c>
      <c r="AA50" s="309">
        <f>D56</f>
        <v>0</v>
      </c>
      <c r="AB50" s="164"/>
      <c r="AC50" s="164"/>
      <c r="AD50" s="310">
        <f>B39</f>
        <v>0</v>
      </c>
      <c r="AE50" s="164" t="s">
        <v>241</v>
      </c>
    </row>
    <row r="51" spans="1:31" ht="15" hidden="1" customHeight="1" outlineLevel="1" x14ac:dyDescent="0.3">
      <c r="A51" s="292" t="s">
        <v>230</v>
      </c>
      <c r="B51" s="49" t="str">
        <f>INDEX(ПрофилиMAXАрт[полноенаим],MATCH(B35&amp;C51,ПрофилиMAXАрт[поиск],0))</f>
        <v>Фасад, Рамочный узкий профиль</v>
      </c>
      <c r="C51" s="21" t="str">
        <f>IF(A51=INDEX($P$3:$P$12, B34), "Да", "Нет")</f>
        <v>Нет</v>
      </c>
      <c r="D51" s="48" t="e">
        <f>INDEX(ПрофилиMAXАрт[], MATCH(B51, ПрофилиMAXАрт[полноенаим], 0), MATCH(B36, ПрофилиMAXАрт[#Headers], 0))</f>
        <v>#N/A</v>
      </c>
      <c r="E51" s="293" t="e">
        <f>VLOOKUP(D51, Ред!$B:$F, 4, 0)</f>
        <v>#N/A</v>
      </c>
      <c r="F51" s="48">
        <f>B37+IF(C51="Да", 200, 100)</f>
        <v>100</v>
      </c>
      <c r="G51" s="293" t="e">
        <f>E51/5400*F51*B39</f>
        <v>#N/A</v>
      </c>
      <c r="H51" s="124"/>
    </row>
    <row r="52" spans="1:31" ht="15" hidden="1" customHeight="1" outlineLevel="1" x14ac:dyDescent="0.3">
      <c r="A52" s="292" t="s">
        <v>211</v>
      </c>
      <c r="B52" s="49" t="str">
        <f>INDEX(ПрофилиMAXАрт[полноенаим],MATCH(B35&amp;C52,ПрофилиMAXАрт[поиск],0))</f>
        <v>Фасад, Рамочный узкий профиль</v>
      </c>
      <c r="C52" s="21" t="str">
        <f>IF(A52=INDEX($P$3:$P$12, B34), "Да", "Нет")</f>
        <v>Нет</v>
      </c>
      <c r="D52" s="48" t="e">
        <f>INDEX(ПрофилиMAXАрт[], MATCH(B52, ПрофилиMAXАрт[полноенаим], 0), MATCH(B36, ПрофилиMAXАрт[#Headers], 0))</f>
        <v>#N/A</v>
      </c>
      <c r="E52" s="293" t="e">
        <f>VLOOKUP(D52, Ред!$B:$F, 4, 0)</f>
        <v>#N/A</v>
      </c>
      <c r="F52" s="48">
        <f>B38+IF(C52="Да", 200, 100)</f>
        <v>100</v>
      </c>
      <c r="G52" s="293" t="e">
        <f>E52/5400*F52*B39</f>
        <v>#N/A</v>
      </c>
      <c r="H52" s="124"/>
    </row>
    <row r="53" spans="1:31" ht="15" hidden="1" customHeight="1" outlineLevel="1" x14ac:dyDescent="0.3">
      <c r="H53" s="124"/>
    </row>
    <row r="54" spans="1:31" ht="15" hidden="1" customHeight="1" outlineLevel="1" thickBot="1" x14ac:dyDescent="0.35">
      <c r="A54" s="297" t="s">
        <v>676</v>
      </c>
      <c r="B54" s="298" t="s">
        <v>389</v>
      </c>
      <c r="C54" s="299">
        <f>INDEX($Q$3:$Q$12, B34)</f>
        <v>0</v>
      </c>
      <c r="H54" s="124"/>
    </row>
    <row r="55" spans="1:31" ht="15" hidden="1" customHeight="1" outlineLevel="1" x14ac:dyDescent="0.3">
      <c r="B55" s="296" t="s">
        <v>390</v>
      </c>
      <c r="C55" s="19" t="s">
        <v>6</v>
      </c>
      <c r="D55" s="48" t="s">
        <v>379</v>
      </c>
      <c r="E55" s="48" t="s">
        <v>270</v>
      </c>
      <c r="F55" s="124"/>
      <c r="G55" s="124"/>
      <c r="H55" s="124"/>
    </row>
    <row r="56" spans="1:31" ht="15" hidden="1" customHeight="1" outlineLevel="1" x14ac:dyDescent="0.3">
      <c r="A56" s="294" t="s">
        <v>382</v>
      </c>
      <c r="B56" s="295">
        <f>IFERROR(INDEX(ФурнитураMAX[Петли], MATCH(C54,ФурнитураMAX[Цвет петель], 0)),0)</f>
        <v>0</v>
      </c>
      <c r="C56" s="293">
        <f>IFERROR(VLOOKUP(B56, Ред!$B:$F, 4, 0),0)</f>
        <v>0</v>
      </c>
      <c r="D56" s="50">
        <f>IF(INDEX($U$3:$U$12, B34)=0, 0, B39)</f>
        <v>0</v>
      </c>
      <c r="E56" s="48">
        <f>C56*D56</f>
        <v>0</v>
      </c>
      <c r="F56" s="124"/>
      <c r="G56" s="124"/>
      <c r="H56" s="124"/>
    </row>
    <row r="57" spans="1:31" ht="15" hidden="1" customHeight="1" outlineLevel="1" x14ac:dyDescent="0.3">
      <c r="A57" s="294" t="s">
        <v>383</v>
      </c>
      <c r="B57" s="295">
        <f>IFERROR(INDEX(ФурнитураMAX[Уголок], MATCH(C54,ФурнитураMAX[Цвет петель], 0)),0)</f>
        <v>0</v>
      </c>
      <c r="C57" s="293">
        <f>IFERROR(IF(B57="Нет", 0, VLOOKUP(B57, Ред!$B:$F, 4, 0)),0)</f>
        <v>0</v>
      </c>
      <c r="D57" s="50">
        <f>B39</f>
        <v>0</v>
      </c>
      <c r="E57" s="48">
        <f>C57*D57</f>
        <v>0</v>
      </c>
      <c r="H57" s="124"/>
    </row>
    <row r="58" spans="1:31" ht="15" hidden="1" customHeight="1" outlineLevel="1" x14ac:dyDescent="0.3">
      <c r="A58" s="294" t="s">
        <v>384</v>
      </c>
      <c r="B58" s="295">
        <f>IFERROR(INDEX(ФурнитураMAX[Уплотнитель], MATCH(C54,ФурнитураMAX[Цвет петель], 0)),0)</f>
        <v>0</v>
      </c>
      <c r="C58" s="293">
        <f>IFERROR(VLOOKUP(B58, Ред!$B:$F, 4, 0)/3,0)</f>
        <v>0</v>
      </c>
      <c r="D58" s="49">
        <f>CEILING((B37+B38)*2*B39/1000,1)</f>
        <v>0</v>
      </c>
      <c r="E58" s="48">
        <f>C58*D58</f>
        <v>0</v>
      </c>
      <c r="H58" s="124"/>
    </row>
    <row r="59" spans="1:31" ht="15" hidden="1" customHeight="1" outlineLevel="1" x14ac:dyDescent="0.3">
      <c r="A59" s="70" t="s">
        <v>97</v>
      </c>
      <c r="B59" s="300"/>
      <c r="C59" s="71"/>
      <c r="D59" s="301"/>
      <c r="E59" s="71">
        <v>413</v>
      </c>
      <c r="F59" s="124"/>
      <c r="G59" s="124"/>
      <c r="H59" s="124"/>
    </row>
    <row r="60" spans="1:31" ht="15" hidden="1" customHeight="1" outlineLevel="1" x14ac:dyDescent="0.3">
      <c r="A60" s="70" t="s">
        <v>98</v>
      </c>
      <c r="B60" s="71"/>
      <c r="C60" s="71"/>
      <c r="D60" s="71"/>
      <c r="E60" s="71">
        <v>413</v>
      </c>
      <c r="H60" s="124"/>
    </row>
    <row r="61" spans="1:31" ht="15" hidden="1" customHeight="1" outlineLevel="1" x14ac:dyDescent="0.3"/>
    <row r="62" spans="1:31" ht="15" hidden="1" customHeight="1" outlineLevel="1" thickBot="1" x14ac:dyDescent="0.35">
      <c r="A62" s="302" t="s">
        <v>395</v>
      </c>
      <c r="B62" s="285" t="e">
        <f>SUM(B46, B47, G49:G52, E56:E60)</f>
        <v>#N/A</v>
      </c>
      <c r="C62" s="385" t="e">
        <f>SUM(B46:B47, G49:G52, E58:E60)</f>
        <v>#N/A</v>
      </c>
      <c r="F62" s="278"/>
    </row>
    <row r="63" spans="1:31" ht="15" hidden="1" customHeight="1" outlineLevel="1" thickTop="1" x14ac:dyDescent="0.3">
      <c r="A63" s="145"/>
      <c r="B63" s="134"/>
      <c r="D63" s="124"/>
      <c r="E63" s="124"/>
      <c r="F63" s="124"/>
      <c r="G63" s="124"/>
      <c r="H63" s="124"/>
    </row>
    <row r="64" spans="1:31" ht="15.6" hidden="1" outlineLevel="1" x14ac:dyDescent="0.3">
      <c r="A64" s="145"/>
      <c r="B64" s="134"/>
      <c r="C64" s="5"/>
    </row>
    <row r="65" spans="1:31" ht="16.2" hidden="1" outlineLevel="1" thickBot="1" x14ac:dyDescent="0.35">
      <c r="A65" s="145"/>
      <c r="B65" s="134"/>
      <c r="C65" s="5"/>
      <c r="X65" s="661" t="s">
        <v>260</v>
      </c>
      <c r="Y65" s="661"/>
      <c r="Z65" s="661"/>
      <c r="AA65" s="661"/>
      <c r="AB65" s="661"/>
      <c r="AC65" s="661"/>
      <c r="AD65" s="661"/>
      <c r="AE65" s="661"/>
    </row>
    <row r="66" spans="1:31" ht="15" customHeight="1" collapsed="1" thickTop="1" thickBot="1" x14ac:dyDescent="0.45">
      <c r="A66" s="286" t="s">
        <v>396</v>
      </c>
      <c r="B66" s="287">
        <v>3</v>
      </c>
      <c r="X66" s="147" t="s">
        <v>115</v>
      </c>
      <c r="Y66" s="147" t="s">
        <v>232</v>
      </c>
      <c r="Z66" s="147" t="s">
        <v>233</v>
      </c>
      <c r="AA66" s="163" t="s">
        <v>149</v>
      </c>
      <c r="AB66" s="147" t="s">
        <v>234</v>
      </c>
      <c r="AC66" s="147" t="s">
        <v>235</v>
      </c>
      <c r="AD66" s="148" t="s">
        <v>236</v>
      </c>
      <c r="AE66" s="147" t="s">
        <v>237</v>
      </c>
    </row>
    <row r="67" spans="1:31" ht="15" hidden="1" customHeight="1" outlineLevel="1" thickTop="1" x14ac:dyDescent="0.3">
      <c r="A67" s="134" t="s">
        <v>358</v>
      </c>
      <c r="B67" s="279" t="s">
        <v>365</v>
      </c>
      <c r="C67" s="5"/>
      <c r="X67" s="161"/>
      <c r="Y67" s="191" t="s">
        <v>15</v>
      </c>
      <c r="Z67" s="191" t="s">
        <v>5</v>
      </c>
      <c r="AA67" s="191" t="s">
        <v>238</v>
      </c>
      <c r="AB67" s="191" t="s">
        <v>239</v>
      </c>
      <c r="AC67" s="195" t="s">
        <v>16</v>
      </c>
      <c r="AD67" s="196" t="s">
        <v>8</v>
      </c>
      <c r="AE67" s="191"/>
    </row>
    <row r="68" spans="1:31" ht="15" hidden="1" customHeight="1" outlineLevel="1" x14ac:dyDescent="0.3">
      <c r="A68" s="5" t="s">
        <v>376</v>
      </c>
      <c r="B68" s="279" t="e">
        <f>INDEX($L$3:$L$12, B66)</f>
        <v>#N/A</v>
      </c>
      <c r="C68" s="5"/>
      <c r="X68" s="162">
        <v>1</v>
      </c>
      <c r="Y68" s="162" t="str">
        <f>B81</f>
        <v>Фасад, Рамочный узкий профиль</v>
      </c>
      <c r="Z68" s="166" t="e">
        <f>D81</f>
        <v>#N/A</v>
      </c>
      <c r="AA68" s="192">
        <f>ROUNDUP(F81/5400*1.1*AD68, 2)</f>
        <v>0</v>
      </c>
      <c r="AB68" s="194"/>
      <c r="AC68" s="162" t="str">
        <f>B69&amp;"мм-"&amp;B71&amp;"шт"</f>
        <v>0мм-0шт</v>
      </c>
      <c r="AD68" s="310">
        <f>B71</f>
        <v>0</v>
      </c>
      <c r="AE68" s="197" t="s">
        <v>240</v>
      </c>
    </row>
    <row r="69" spans="1:31" ht="15" hidden="1" customHeight="1" outlineLevel="1" x14ac:dyDescent="0.3">
      <c r="A69" s="5" t="s">
        <v>4</v>
      </c>
      <c r="B69" s="279">
        <f>INDEX($R$3:$R$12, B66)</f>
        <v>0</v>
      </c>
      <c r="C69" s="5"/>
      <c r="X69" s="162">
        <v>2</v>
      </c>
      <c r="Y69" s="162" t="str">
        <f>B82</f>
        <v>Фасад, Рамочный узкий профиль</v>
      </c>
      <c r="Z69" s="166" t="e">
        <f>D82</f>
        <v>#N/A</v>
      </c>
      <c r="AA69" s="192">
        <f>ROUNDUP(F82/5400*1.1*AD69, 2)</f>
        <v>0</v>
      </c>
      <c r="AB69" s="162"/>
      <c r="AC69" s="162" t="str">
        <f>B70&amp;"мм-"&amp;B71&amp;"шт"</f>
        <v>0мм-0шт</v>
      </c>
      <c r="AD69" s="310">
        <f>B71</f>
        <v>0</v>
      </c>
      <c r="AE69" s="197" t="s">
        <v>240</v>
      </c>
    </row>
    <row r="70" spans="1:31" ht="15" hidden="1" customHeight="1" outlineLevel="1" x14ac:dyDescent="0.3">
      <c r="A70" s="5" t="s">
        <v>1</v>
      </c>
      <c r="B70" s="279">
        <f>INDEX($S$3:$S$12, B66)</f>
        <v>0</v>
      </c>
      <c r="D70" s="134"/>
      <c r="E70" s="124"/>
      <c r="F70" s="124"/>
      <c r="G70" s="124"/>
      <c r="X70" s="162">
        <v>3</v>
      </c>
      <c r="Y70" s="164" t="str">
        <f>B83</f>
        <v>Фасад, Рамочный узкий профиль</v>
      </c>
      <c r="Z70" s="193" t="e">
        <f>D83</f>
        <v>#N/A</v>
      </c>
      <c r="AA70" s="192">
        <f>ROUNDUP(F83/5400*1.1*AD70, 2)</f>
        <v>0</v>
      </c>
      <c r="AB70" s="164"/>
      <c r="AC70" s="162" t="str">
        <f>B69&amp;"мм-"&amp;B71&amp;"шт"</f>
        <v>0мм-0шт</v>
      </c>
      <c r="AD70" s="310">
        <f>B71</f>
        <v>0</v>
      </c>
      <c r="AE70" s="197" t="s">
        <v>240</v>
      </c>
    </row>
    <row r="71" spans="1:31" ht="15" hidden="1" customHeight="1" outlineLevel="1" x14ac:dyDescent="0.3">
      <c r="A71" s="39" t="s">
        <v>72</v>
      </c>
      <c r="B71" s="280">
        <f>INDEX($T$3:$T$12, B66)</f>
        <v>0</v>
      </c>
      <c r="C71" s="40"/>
      <c r="D71" s="40"/>
      <c r="E71" s="40"/>
      <c r="F71" s="271"/>
      <c r="G71" s="271"/>
      <c r="X71" s="162">
        <v>4</v>
      </c>
      <c r="Y71" s="164" t="str">
        <f>B84</f>
        <v>Фасад, Рамочный узкий профиль</v>
      </c>
      <c r="Z71" s="193" t="e">
        <f>D84</f>
        <v>#N/A</v>
      </c>
      <c r="AA71" s="192">
        <f>ROUNDUP(F84/5400*1.1*AD71, 2)</f>
        <v>0</v>
      </c>
      <c r="AB71" s="194"/>
      <c r="AC71" s="162" t="str">
        <f>B70&amp;"мм-"&amp;B71&amp;"шт"</f>
        <v>0мм-0шт</v>
      </c>
      <c r="AD71" s="310">
        <f>B71</f>
        <v>0</v>
      </c>
      <c r="AE71" s="197" t="s">
        <v>240</v>
      </c>
    </row>
    <row r="72" spans="1:31" ht="15" hidden="1" customHeight="1" outlineLevel="1" x14ac:dyDescent="0.3">
      <c r="A72" s="39" t="s">
        <v>360</v>
      </c>
      <c r="B72" s="269">
        <f>INDEX($M$3:$M$12, B66)</f>
        <v>0</v>
      </c>
      <c r="F72" s="124"/>
      <c r="G72" s="124"/>
      <c r="X72" s="162">
        <v>5</v>
      </c>
      <c r="Y72" s="164">
        <f>B72</f>
        <v>0</v>
      </c>
      <c r="Z72" s="164" t="str">
        <f>B73</f>
        <v>.</v>
      </c>
      <c r="AA72" s="309">
        <f>B71</f>
        <v>0</v>
      </c>
      <c r="AB72" s="164" t="str">
        <f>CONCATENATE("В ",B75,", ","Ш ",B76)</f>
        <v>В -6, Ш -6</v>
      </c>
      <c r="AC72" s="164"/>
      <c r="AD72" s="310">
        <f>B71</f>
        <v>0</v>
      </c>
      <c r="AE72" s="197" t="s">
        <v>278</v>
      </c>
    </row>
    <row r="73" spans="1:31" ht="15" hidden="1" customHeight="1" outlineLevel="1" x14ac:dyDescent="0.3">
      <c r="A73" s="39" t="s">
        <v>381</v>
      </c>
      <c r="B73" s="269" t="str">
        <f>IFERROR(INDEX($N$3:$N$12, B66),0)</f>
        <v>.</v>
      </c>
      <c r="F73" s="124"/>
      <c r="G73" s="124"/>
      <c r="X73" s="162">
        <v>6</v>
      </c>
      <c r="Y73" s="164" t="s">
        <v>242</v>
      </c>
      <c r="Z73" s="167" t="s">
        <v>243</v>
      </c>
      <c r="AA73" s="164">
        <f>IF(B69&gt;550,2*AD73,1*AD73)</f>
        <v>0</v>
      </c>
      <c r="AB73" s="164"/>
      <c r="AC73" s="164"/>
      <c r="AD73" s="310">
        <f>B71</f>
        <v>0</v>
      </c>
      <c r="AE73" s="197" t="s">
        <v>240</v>
      </c>
    </row>
    <row r="74" spans="1:31" ht="15" hidden="1" customHeight="1" outlineLevel="1" x14ac:dyDescent="0.3">
      <c r="A74" s="39" t="s">
        <v>398</v>
      </c>
      <c r="B74" s="281">
        <f>IFERROR(IF(B73=".", 0, VLOOKUP(B73, Ред!$B:$F, 4, 0)),0)</f>
        <v>0</v>
      </c>
      <c r="F74" s="124"/>
      <c r="G74" s="124"/>
      <c r="H74" s="124"/>
      <c r="X74" s="162">
        <v>7</v>
      </c>
      <c r="Y74" s="164" t="s">
        <v>244</v>
      </c>
      <c r="Z74" s="167" t="s">
        <v>245</v>
      </c>
      <c r="AA74" s="164">
        <f>(B69+B70)*2/1000*AD74</f>
        <v>0</v>
      </c>
      <c r="AB74" s="164"/>
      <c r="AC74" s="164"/>
      <c r="AD74" s="310">
        <f>B71</f>
        <v>0</v>
      </c>
      <c r="AE74" s="197" t="s">
        <v>240</v>
      </c>
    </row>
    <row r="75" spans="1:31" s="40" customFormat="1" ht="15" hidden="1" customHeight="1" outlineLevel="1" x14ac:dyDescent="0.3">
      <c r="A75" s="39" t="s">
        <v>399</v>
      </c>
      <c r="B75" s="282">
        <f>B69-6</f>
        <v>-6</v>
      </c>
      <c r="C75" s="39"/>
      <c r="D75" s="39"/>
      <c r="E75" s="39"/>
      <c r="F75" s="124"/>
      <c r="G75" s="124"/>
      <c r="X75" s="162">
        <v>8</v>
      </c>
      <c r="Y75" s="165" t="s">
        <v>246</v>
      </c>
      <c r="Z75" s="167" t="s">
        <v>247</v>
      </c>
      <c r="AA75" s="164">
        <f>0.02*AD75</f>
        <v>0</v>
      </c>
      <c r="AB75" s="164"/>
      <c r="AC75" s="164"/>
      <c r="AD75" s="310">
        <f>B71</f>
        <v>0</v>
      </c>
      <c r="AE75" s="197" t="s">
        <v>240</v>
      </c>
    </row>
    <row r="76" spans="1:31" ht="15" hidden="1" customHeight="1" outlineLevel="1" x14ac:dyDescent="0.3">
      <c r="A76" s="39" t="s">
        <v>400</v>
      </c>
      <c r="B76" s="282">
        <f>B70-6</f>
        <v>-6</v>
      </c>
      <c r="C76" s="5"/>
      <c r="D76" s="124"/>
      <c r="E76" s="124"/>
      <c r="F76" s="124"/>
      <c r="G76" s="124"/>
      <c r="H76" s="124"/>
      <c r="X76" s="162">
        <v>9</v>
      </c>
      <c r="Y76" s="164" t="s">
        <v>475</v>
      </c>
      <c r="Z76" s="167" t="s">
        <v>474</v>
      </c>
      <c r="AA76" s="193">
        <f>(((B70*2)/1000)+0.5)/66*B71</f>
        <v>0</v>
      </c>
      <c r="AB76" s="164"/>
      <c r="AC76" s="164"/>
      <c r="AD76" s="310">
        <f>B71</f>
        <v>0</v>
      </c>
      <c r="AE76" s="197" t="s">
        <v>240</v>
      </c>
    </row>
    <row r="77" spans="1:31" ht="15" hidden="1" customHeight="1" outlineLevel="1" x14ac:dyDescent="0.3">
      <c r="A77" s="39" t="s">
        <v>401</v>
      </c>
      <c r="B77" s="283">
        <f>B75*B76/1000000</f>
        <v>3.6000000000000001E-5</v>
      </c>
      <c r="C77" s="5"/>
      <c r="D77" s="124"/>
      <c r="E77" s="124"/>
      <c r="F77" s="124"/>
      <c r="G77" s="124"/>
      <c r="H77" s="124"/>
      <c r="X77" s="162">
        <v>10</v>
      </c>
      <c r="Y77" s="164" t="s">
        <v>248</v>
      </c>
      <c r="Z77" s="167" t="s">
        <v>249</v>
      </c>
      <c r="AA77" s="193">
        <f>((B70*8/1000)+0.5)/45*B71</f>
        <v>0</v>
      </c>
      <c r="AB77" s="164"/>
      <c r="AC77" s="164"/>
      <c r="AD77" s="310">
        <f>B71</f>
        <v>0</v>
      </c>
      <c r="AE77" s="197" t="s">
        <v>240</v>
      </c>
    </row>
    <row r="78" spans="1:31" ht="15" hidden="1" customHeight="1" outlineLevel="1" x14ac:dyDescent="0.3">
      <c r="A78" s="145" t="s">
        <v>402</v>
      </c>
      <c r="B78" s="284">
        <f>B74*B77*B71</f>
        <v>0</v>
      </c>
      <c r="H78" s="124"/>
      <c r="X78" s="188">
        <v>11</v>
      </c>
      <c r="Y78" s="189" t="s">
        <v>250</v>
      </c>
      <c r="Z78" s="190" t="s">
        <v>251</v>
      </c>
      <c r="AA78" s="189">
        <f>((B70*4/1000)+1)</f>
        <v>1</v>
      </c>
      <c r="AB78" s="189"/>
      <c r="AC78" s="189"/>
      <c r="AD78" s="311">
        <f>B71</f>
        <v>0</v>
      </c>
      <c r="AE78" s="197" t="s">
        <v>240</v>
      </c>
    </row>
    <row r="79" spans="1:31" ht="15" hidden="1" customHeight="1" outlineLevel="1" x14ac:dyDescent="0.3">
      <c r="A79" s="39" t="s">
        <v>576</v>
      </c>
      <c r="B79" s="356">
        <f>IFERROR(IF(D79,(B75+B76)/1000*2*F79*B71,0),0)</f>
        <v>0</v>
      </c>
      <c r="C79" s="39" t="s">
        <v>574</v>
      </c>
      <c r="D79" s="39">
        <f>IFERROR(INDEX(Вставки[Обработка],MATCH(B73,Вставки[арт],0)) = 1,0)</f>
        <v>0</v>
      </c>
      <c r="E79" s="39" t="s">
        <v>6</v>
      </c>
      <c r="F79" s="356">
        <f>Ред!$E$33</f>
        <v>520.27052307692293</v>
      </c>
      <c r="H79" s="124"/>
      <c r="X79" s="189">
        <v>12</v>
      </c>
      <c r="Y79" s="189" t="s">
        <v>279</v>
      </c>
      <c r="Z79" s="167" t="s">
        <v>280</v>
      </c>
      <c r="AA79" s="189">
        <v>1</v>
      </c>
      <c r="AB79" s="164"/>
      <c r="AC79" s="189"/>
      <c r="AD79" s="310">
        <v>1</v>
      </c>
      <c r="AE79" s="256" t="s">
        <v>240</v>
      </c>
    </row>
    <row r="80" spans="1:31" ht="15" hidden="1" customHeight="1" outlineLevel="1" x14ac:dyDescent="0.3">
      <c r="A80" s="5"/>
      <c r="B80" s="288" t="s">
        <v>15</v>
      </c>
      <c r="C80" s="289" t="s">
        <v>371</v>
      </c>
      <c r="D80" s="290" t="s">
        <v>5</v>
      </c>
      <c r="E80" s="290" t="s">
        <v>3</v>
      </c>
      <c r="F80" s="291" t="s">
        <v>380</v>
      </c>
      <c r="G80" s="291" t="s">
        <v>7</v>
      </c>
      <c r="H80" s="124"/>
      <c r="X80" s="162">
        <v>13</v>
      </c>
      <c r="Y80" s="49" t="e">
        <f>INDEX(Ред!$A:$A,MATCH(Z80,Ред!B:B,0))</f>
        <v>#N/A</v>
      </c>
      <c r="Z80" s="386">
        <f>B89</f>
        <v>0</v>
      </c>
      <c r="AA80" s="50">
        <f>D89</f>
        <v>0</v>
      </c>
      <c r="AB80" s="164"/>
      <c r="AC80" s="164"/>
      <c r="AD80" s="310">
        <f>AA80</f>
        <v>0</v>
      </c>
      <c r="AE80" s="164" t="s">
        <v>241</v>
      </c>
    </row>
    <row r="81" spans="1:31" ht="15" hidden="1" customHeight="1" outlineLevel="1" x14ac:dyDescent="0.3">
      <c r="A81" s="292" t="s">
        <v>104</v>
      </c>
      <c r="B81" s="49" t="str">
        <f>INDEX(ПрофилиMAXАрт[полноенаим],MATCH(B67&amp;C81,ПрофилиMAXАрт[поиск],0))</f>
        <v>Фасад, Рамочный узкий профиль</v>
      </c>
      <c r="C81" s="21" t="str">
        <f>IF(A81=INDEX($P$3:$P$12, B66), "Да", "Нет")</f>
        <v>Нет</v>
      </c>
      <c r="D81" s="48" t="e">
        <f>INDEX(ПрофилиMAXАрт[], MATCH(B81, ПрофилиMAXАрт[полноенаим], 0), MATCH(B68, ПрофилиMAXАрт[#Headers], 0))</f>
        <v>#N/A</v>
      </c>
      <c r="E81" s="293" t="e">
        <f>VLOOKUP(D81, Ред!$B:$F, 4, 0)</f>
        <v>#N/A</v>
      </c>
      <c r="F81" s="48">
        <f>B69+IF(C81="Да", 200, 100)</f>
        <v>100</v>
      </c>
      <c r="G81" s="293" t="e">
        <f>E81/5400*F81*B71</f>
        <v>#N/A</v>
      </c>
      <c r="H81" s="124"/>
      <c r="X81" s="164">
        <v>14</v>
      </c>
      <c r="Y81" s="164" t="e">
        <f>INDEX(Ред!$A:$A,MATCH(Z81,Ред!B:B,0))</f>
        <v>#N/A</v>
      </c>
      <c r="Z81" s="386">
        <f>B90</f>
        <v>0</v>
      </c>
      <c r="AA81" s="164">
        <f>ROUNDUP(D90/2.6,1)</f>
        <v>0</v>
      </c>
      <c r="AB81" s="164"/>
      <c r="AC81" s="164"/>
      <c r="AD81" s="310">
        <f>B71</f>
        <v>0</v>
      </c>
      <c r="AE81" s="164" t="s">
        <v>240</v>
      </c>
    </row>
    <row r="82" spans="1:31" ht="15" hidden="1" customHeight="1" outlineLevel="1" x14ac:dyDescent="0.3">
      <c r="A82" s="292" t="s">
        <v>210</v>
      </c>
      <c r="B82" s="49" t="str">
        <f>INDEX(ПрофилиMAXАрт[полноенаим],MATCH(B67&amp;C82,ПрофилиMAXАрт[поиск],0))</f>
        <v>Фасад, Рамочный узкий профиль</v>
      </c>
      <c r="C82" s="21" t="str">
        <f>IF(A82=INDEX($P$3:$P$12, B66), "Да", "Нет")</f>
        <v>Нет</v>
      </c>
      <c r="D82" s="48" t="e">
        <f>INDEX(ПрофилиMAXАрт[], MATCH(B82, ПрофилиMAXАрт[полноенаим], 0), MATCH(B68, ПрофилиMAXАрт[#Headers], 0))</f>
        <v>#N/A</v>
      </c>
      <c r="E82" s="293" t="e">
        <f>VLOOKUP(D82, Ред!$B:$F, 4, 0)</f>
        <v>#N/A</v>
      </c>
      <c r="F82" s="48">
        <f>B70+IF(C82="Да", 200, 100)</f>
        <v>100</v>
      </c>
      <c r="G82" s="293" t="e">
        <f>E82/5400*F82*B71</f>
        <v>#N/A</v>
      </c>
      <c r="H82" s="124"/>
      <c r="X82" s="164">
        <v>15</v>
      </c>
      <c r="Y82" s="164" t="e">
        <f>INDEX(Ред!$A:$A,MATCH(Z82,Ред!B:B,0))</f>
        <v>#N/A</v>
      </c>
      <c r="Z82" s="386">
        <f>B88</f>
        <v>0</v>
      </c>
      <c r="AA82" s="309">
        <f>D88</f>
        <v>0</v>
      </c>
      <c r="AB82" s="164"/>
      <c r="AC82" s="164"/>
      <c r="AD82" s="310">
        <f>B71</f>
        <v>0</v>
      </c>
      <c r="AE82" s="164" t="s">
        <v>241</v>
      </c>
    </row>
    <row r="83" spans="1:31" ht="15" hidden="1" customHeight="1" outlineLevel="1" x14ac:dyDescent="0.3">
      <c r="A83" s="292" t="s">
        <v>230</v>
      </c>
      <c r="B83" s="49" t="str">
        <f>INDEX(ПрофилиMAXАрт[полноенаим],MATCH(B67&amp;C83,ПрофилиMAXАрт[поиск],0))</f>
        <v>Фасад, Рамочный узкий профиль</v>
      </c>
      <c r="C83" s="21" t="str">
        <f>IF(A83=INDEX($P$3:$P$12, B66), "Да", "Нет")</f>
        <v>Нет</v>
      </c>
      <c r="D83" s="48" t="e">
        <f>INDEX(ПрофилиMAXАрт[], MATCH(B83, ПрофилиMAXАрт[полноенаим], 0), MATCH(B68, ПрофилиMAXАрт[#Headers], 0))</f>
        <v>#N/A</v>
      </c>
      <c r="E83" s="293" t="e">
        <f>VLOOKUP(D83, Ред!$B:$F, 4, 0)</f>
        <v>#N/A</v>
      </c>
      <c r="F83" s="48">
        <f>B69+IF(C83="Да", 200, 100)</f>
        <v>100</v>
      </c>
      <c r="G83" s="293" t="e">
        <f>E83/5400*F83*B71</f>
        <v>#N/A</v>
      </c>
      <c r="H83" s="124"/>
    </row>
    <row r="84" spans="1:31" ht="15" hidden="1" customHeight="1" outlineLevel="1" x14ac:dyDescent="0.3">
      <c r="A84" s="292" t="s">
        <v>211</v>
      </c>
      <c r="B84" s="49" t="str">
        <f>INDEX(ПрофилиMAXАрт[полноенаим],MATCH(B67&amp;C84,ПрофилиMAXАрт[поиск],0))</f>
        <v>Фасад, Рамочный узкий профиль</v>
      </c>
      <c r="C84" s="21" t="str">
        <f>IF(A84=INDEX($P$3:$P$12, B66), "Да", "Нет")</f>
        <v>Нет</v>
      </c>
      <c r="D84" s="48" t="e">
        <f>INDEX(ПрофилиMAXАрт[], MATCH(B84, ПрофилиMAXАрт[полноенаим], 0), MATCH(B68, ПрофилиMAXАрт[#Headers], 0))</f>
        <v>#N/A</v>
      </c>
      <c r="E84" s="293" t="e">
        <f>VLOOKUP(D84, Ред!$B:$F, 4, 0)</f>
        <v>#N/A</v>
      </c>
      <c r="F84" s="48">
        <f>B70+IF(C84="Да", 200, 100)</f>
        <v>100</v>
      </c>
      <c r="G84" s="293" t="e">
        <f>E84/5400*F84*B71</f>
        <v>#N/A</v>
      </c>
      <c r="H84" s="124"/>
    </row>
    <row r="85" spans="1:31" ht="15" hidden="1" customHeight="1" outlineLevel="1" x14ac:dyDescent="0.3">
      <c r="H85" s="124"/>
    </row>
    <row r="86" spans="1:31" ht="15" hidden="1" customHeight="1" outlineLevel="1" thickBot="1" x14ac:dyDescent="0.35">
      <c r="A86" s="297" t="s">
        <v>676</v>
      </c>
      <c r="B86" s="298" t="s">
        <v>389</v>
      </c>
      <c r="C86" s="299">
        <f>INDEX($Q$3:$Q$12, B66)</f>
        <v>0</v>
      </c>
      <c r="H86" s="124"/>
    </row>
    <row r="87" spans="1:31" ht="15" hidden="1" customHeight="1" outlineLevel="1" x14ac:dyDescent="0.3">
      <c r="B87" s="296" t="s">
        <v>390</v>
      </c>
      <c r="C87" s="19" t="s">
        <v>6</v>
      </c>
      <c r="D87" s="48" t="s">
        <v>379</v>
      </c>
      <c r="E87" s="48" t="s">
        <v>270</v>
      </c>
      <c r="F87" s="124"/>
      <c r="G87" s="124"/>
      <c r="H87" s="124"/>
    </row>
    <row r="88" spans="1:31" ht="15" hidden="1" customHeight="1" outlineLevel="1" x14ac:dyDescent="0.3">
      <c r="A88" s="294" t="s">
        <v>382</v>
      </c>
      <c r="B88" s="295">
        <f>IFERROR(INDEX(ФурнитураMAX[Петли], MATCH(C86,ФурнитураMAX[Цвет петель], 0)),0)</f>
        <v>0</v>
      </c>
      <c r="C88" s="293">
        <f>IFERROR(VLOOKUP(B88, Ред!$B:$F, 4, 0),0)</f>
        <v>0</v>
      </c>
      <c r="D88" s="50">
        <f>IF(INDEX($U$3:$U$12, B66)=0, 0, B71)</f>
        <v>0</v>
      </c>
      <c r="E88" s="48">
        <f>C88*D88</f>
        <v>0</v>
      </c>
      <c r="F88" s="124"/>
      <c r="G88" s="124"/>
      <c r="H88" s="124"/>
    </row>
    <row r="89" spans="1:31" ht="15" hidden="1" customHeight="1" outlineLevel="1" x14ac:dyDescent="0.3">
      <c r="A89" s="294" t="s">
        <v>383</v>
      </c>
      <c r="B89" s="295">
        <f>IFERROR(INDEX(ФурнитураMAX[Уголок], MATCH(C86,ФурнитураMAX[Цвет петель], 0)),0)</f>
        <v>0</v>
      </c>
      <c r="C89" s="293">
        <f>IFERROR(IF(B89="Нет", 0, VLOOKUP(B89, Ред!$B:$F, 4, 0)),0)</f>
        <v>0</v>
      </c>
      <c r="D89" s="50">
        <f>B71</f>
        <v>0</v>
      </c>
      <c r="E89" s="48">
        <f>C89*D89</f>
        <v>0</v>
      </c>
      <c r="H89" s="124"/>
    </row>
    <row r="90" spans="1:31" ht="15" hidden="1" customHeight="1" outlineLevel="1" x14ac:dyDescent="0.3">
      <c r="A90" s="294" t="s">
        <v>384</v>
      </c>
      <c r="B90" s="295">
        <f>IFERROR(INDEX(ФурнитураMAX[Уплотнитель], MATCH(C86,ФурнитураMAX[Цвет петель], 0)),0)</f>
        <v>0</v>
      </c>
      <c r="C90" s="293">
        <f>IFERROR(VLOOKUP(B90, Ред!$B:$F, 4, 0)/3,0)</f>
        <v>0</v>
      </c>
      <c r="D90" s="49">
        <f>CEILING((B69+B70)*2*B71/1000,1)</f>
        <v>0</v>
      </c>
      <c r="E90" s="48">
        <f>C90*D90</f>
        <v>0</v>
      </c>
      <c r="H90" s="124"/>
    </row>
    <row r="91" spans="1:31" ht="15" hidden="1" customHeight="1" outlineLevel="1" x14ac:dyDescent="0.3">
      <c r="A91" s="70" t="s">
        <v>97</v>
      </c>
      <c r="B91" s="300"/>
      <c r="C91" s="71"/>
      <c r="D91" s="301"/>
      <c r="E91" s="71">
        <v>413</v>
      </c>
      <c r="F91" s="124"/>
      <c r="G91" s="124"/>
      <c r="H91" s="124"/>
    </row>
    <row r="92" spans="1:31" ht="15" hidden="1" customHeight="1" outlineLevel="1" x14ac:dyDescent="0.3">
      <c r="A92" s="70" t="s">
        <v>98</v>
      </c>
      <c r="B92" s="71"/>
      <c r="C92" s="71"/>
      <c r="D92" s="71"/>
      <c r="E92" s="71">
        <v>413</v>
      </c>
      <c r="H92" s="124"/>
    </row>
    <row r="93" spans="1:31" ht="15" hidden="1" customHeight="1" outlineLevel="1" x14ac:dyDescent="0.3"/>
    <row r="94" spans="1:31" ht="15" hidden="1" customHeight="1" outlineLevel="1" thickBot="1" x14ac:dyDescent="0.35">
      <c r="A94" s="302" t="s">
        <v>395</v>
      </c>
      <c r="B94" s="285" t="e">
        <f>SUM(B78, B79, G81:G84, E88:E92)</f>
        <v>#N/A</v>
      </c>
      <c r="C94" s="385" t="e">
        <f>SUM(B78:B79, G81:G84, E90:E92)</f>
        <v>#N/A</v>
      </c>
      <c r="F94" s="278"/>
    </row>
    <row r="95" spans="1:31" ht="15" hidden="1" customHeight="1" outlineLevel="1" thickTop="1" x14ac:dyDescent="0.3">
      <c r="A95" s="145"/>
      <c r="B95" s="134"/>
      <c r="D95" s="124"/>
      <c r="E95" s="124"/>
      <c r="F95" s="124"/>
      <c r="G95" s="124"/>
      <c r="H95" s="124"/>
    </row>
    <row r="96" spans="1:31" ht="15.6" hidden="1" outlineLevel="1" x14ac:dyDescent="0.3">
      <c r="A96" s="145"/>
      <c r="B96" s="134"/>
      <c r="C96" s="5"/>
    </row>
    <row r="97" spans="1:31" ht="16.2" hidden="1" outlineLevel="1" thickBot="1" x14ac:dyDescent="0.35">
      <c r="A97" s="145"/>
      <c r="B97" s="134"/>
      <c r="C97" s="5"/>
      <c r="X97" s="661" t="s">
        <v>259</v>
      </c>
      <c r="Y97" s="661"/>
      <c r="Z97" s="661"/>
      <c r="AA97" s="661"/>
      <c r="AB97" s="661"/>
      <c r="AC97" s="661"/>
      <c r="AD97" s="661"/>
      <c r="AE97" s="661"/>
    </row>
    <row r="98" spans="1:31" ht="15" customHeight="1" collapsed="1" thickTop="1" thickBot="1" x14ac:dyDescent="0.45">
      <c r="A98" s="286" t="s">
        <v>396</v>
      </c>
      <c r="B98" s="287">
        <v>4</v>
      </c>
      <c r="X98" s="147" t="s">
        <v>115</v>
      </c>
      <c r="Y98" s="147" t="s">
        <v>232</v>
      </c>
      <c r="Z98" s="147" t="s">
        <v>233</v>
      </c>
      <c r="AA98" s="163" t="s">
        <v>149</v>
      </c>
      <c r="AB98" s="147" t="s">
        <v>234</v>
      </c>
      <c r="AC98" s="147" t="s">
        <v>235</v>
      </c>
      <c r="AD98" s="148" t="s">
        <v>236</v>
      </c>
      <c r="AE98" s="147" t="s">
        <v>237</v>
      </c>
    </row>
    <row r="99" spans="1:31" ht="15" hidden="1" customHeight="1" outlineLevel="1" thickTop="1" x14ac:dyDescent="0.3">
      <c r="A99" s="134" t="s">
        <v>358</v>
      </c>
      <c r="B99" s="279" t="s">
        <v>365</v>
      </c>
      <c r="C99" s="5"/>
      <c r="X99" s="161"/>
      <c r="Y99" s="191" t="s">
        <v>15</v>
      </c>
      <c r="Z99" s="191" t="s">
        <v>5</v>
      </c>
      <c r="AA99" s="191" t="s">
        <v>238</v>
      </c>
      <c r="AB99" s="191" t="s">
        <v>239</v>
      </c>
      <c r="AC99" s="195" t="s">
        <v>16</v>
      </c>
      <c r="AD99" s="196" t="s">
        <v>8</v>
      </c>
      <c r="AE99" s="191"/>
    </row>
    <row r="100" spans="1:31" ht="15" hidden="1" customHeight="1" outlineLevel="1" x14ac:dyDescent="0.3">
      <c r="A100" s="5" t="s">
        <v>376</v>
      </c>
      <c r="B100" s="279" t="e">
        <f>INDEX($L$3:$L$12, B98)</f>
        <v>#N/A</v>
      </c>
      <c r="C100" s="5"/>
      <c r="X100" s="162">
        <v>1</v>
      </c>
      <c r="Y100" s="162" t="str">
        <f>B113</f>
        <v>Фасад, Рамочный узкий профиль</v>
      </c>
      <c r="Z100" s="166" t="e">
        <f>D113</f>
        <v>#N/A</v>
      </c>
      <c r="AA100" s="192">
        <f>ROUNDUP(F113/5400*1.1*AD100, 2)</f>
        <v>0</v>
      </c>
      <c r="AB100" s="194"/>
      <c r="AC100" s="162" t="str">
        <f>B101&amp;"мм-"&amp;B103&amp;"шт"</f>
        <v>0мм-0шт</v>
      </c>
      <c r="AD100" s="310">
        <f>B103</f>
        <v>0</v>
      </c>
      <c r="AE100" s="197" t="s">
        <v>240</v>
      </c>
    </row>
    <row r="101" spans="1:31" ht="15" hidden="1" customHeight="1" outlineLevel="1" x14ac:dyDescent="0.3">
      <c r="A101" s="5" t="s">
        <v>4</v>
      </c>
      <c r="B101" s="279">
        <f>INDEX($R$3:$R$12, B98)</f>
        <v>0</v>
      </c>
      <c r="C101" s="5"/>
      <c r="X101" s="162">
        <v>2</v>
      </c>
      <c r="Y101" s="162" t="str">
        <f>B114</f>
        <v>Фасад, Рамочный узкий профиль</v>
      </c>
      <c r="Z101" s="166" t="e">
        <f>D114</f>
        <v>#N/A</v>
      </c>
      <c r="AA101" s="192">
        <f>ROUNDUP(F114/5400*1.1*AD101, 2)</f>
        <v>0</v>
      </c>
      <c r="AB101" s="162"/>
      <c r="AC101" s="162" t="str">
        <f>B102&amp;"мм-"&amp;B103&amp;"шт"</f>
        <v>0мм-0шт</v>
      </c>
      <c r="AD101" s="310">
        <f>B103</f>
        <v>0</v>
      </c>
      <c r="AE101" s="197" t="s">
        <v>240</v>
      </c>
    </row>
    <row r="102" spans="1:31" ht="15" hidden="1" customHeight="1" outlineLevel="1" x14ac:dyDescent="0.3">
      <c r="A102" s="5" t="s">
        <v>1</v>
      </c>
      <c r="B102" s="279">
        <f>INDEX($S$3:$S$12, B98)</f>
        <v>0</v>
      </c>
      <c r="D102" s="134"/>
      <c r="E102" s="124"/>
      <c r="F102" s="124"/>
      <c r="G102" s="124"/>
      <c r="X102" s="162">
        <v>3</v>
      </c>
      <c r="Y102" s="164" t="str">
        <f>B115</f>
        <v>Фасад, Рамочный узкий профиль</v>
      </c>
      <c r="Z102" s="193" t="e">
        <f>D115</f>
        <v>#N/A</v>
      </c>
      <c r="AA102" s="192">
        <f>ROUNDUP(F115/5400*1.1*AD102, 2)</f>
        <v>0</v>
      </c>
      <c r="AB102" s="164"/>
      <c r="AC102" s="162" t="str">
        <f>B101&amp;"мм-"&amp;B103&amp;"шт"</f>
        <v>0мм-0шт</v>
      </c>
      <c r="AD102" s="310">
        <f>B103</f>
        <v>0</v>
      </c>
      <c r="AE102" s="197" t="s">
        <v>240</v>
      </c>
    </row>
    <row r="103" spans="1:31" ht="15" hidden="1" customHeight="1" outlineLevel="1" x14ac:dyDescent="0.3">
      <c r="A103" s="39" t="s">
        <v>72</v>
      </c>
      <c r="B103" s="280">
        <f>INDEX($T$3:$T$12, B98)</f>
        <v>0</v>
      </c>
      <c r="C103" s="40"/>
      <c r="D103" s="40"/>
      <c r="E103" s="40"/>
      <c r="F103" s="271"/>
      <c r="G103" s="271"/>
      <c r="X103" s="162">
        <v>4</v>
      </c>
      <c r="Y103" s="164" t="str">
        <f>B116</f>
        <v>Фасад, Рамочный узкий профиль</v>
      </c>
      <c r="Z103" s="193" t="e">
        <f>D116</f>
        <v>#N/A</v>
      </c>
      <c r="AA103" s="192">
        <f>ROUNDUP(F116/5400*1.1*AD103, 2)</f>
        <v>0</v>
      </c>
      <c r="AB103" s="194"/>
      <c r="AC103" s="162" t="str">
        <f>B102&amp;"мм-"&amp;B103&amp;"шт"</f>
        <v>0мм-0шт</v>
      </c>
      <c r="AD103" s="310">
        <f>B103</f>
        <v>0</v>
      </c>
      <c r="AE103" s="197" t="s">
        <v>240</v>
      </c>
    </row>
    <row r="104" spans="1:31" ht="15" hidden="1" customHeight="1" outlineLevel="1" x14ac:dyDescent="0.3">
      <c r="A104" s="39" t="s">
        <v>360</v>
      </c>
      <c r="B104" s="269">
        <f>INDEX($M$3:$M$12, B98)</f>
        <v>0</v>
      </c>
      <c r="F104" s="124"/>
      <c r="G104" s="124"/>
      <c r="X104" s="162">
        <v>5</v>
      </c>
      <c r="Y104" s="164">
        <f>B104</f>
        <v>0</v>
      </c>
      <c r="Z104" s="164" t="str">
        <f>B105</f>
        <v>.</v>
      </c>
      <c r="AA104" s="309">
        <f>B103</f>
        <v>0</v>
      </c>
      <c r="AB104" s="164" t="str">
        <f>CONCATENATE("В ",B107,", ","Ш ",B108)</f>
        <v>В -6, Ш -6</v>
      </c>
      <c r="AC104" s="164"/>
      <c r="AD104" s="310">
        <f>B103</f>
        <v>0</v>
      </c>
      <c r="AE104" s="197" t="s">
        <v>278</v>
      </c>
    </row>
    <row r="105" spans="1:31" ht="15" hidden="1" customHeight="1" outlineLevel="1" x14ac:dyDescent="0.3">
      <c r="A105" s="39" t="s">
        <v>381</v>
      </c>
      <c r="B105" s="269" t="str">
        <f>IFERROR(INDEX($N$3:$N$12, B98),0)</f>
        <v>.</v>
      </c>
      <c r="F105" s="124"/>
      <c r="G105" s="124"/>
      <c r="X105" s="162">
        <v>6</v>
      </c>
      <c r="Y105" s="164" t="s">
        <v>242</v>
      </c>
      <c r="Z105" s="167" t="s">
        <v>243</v>
      </c>
      <c r="AA105" s="164">
        <f>IF(B101&gt;550,2*AD105,1*AD105)</f>
        <v>0</v>
      </c>
      <c r="AB105" s="164"/>
      <c r="AC105" s="164"/>
      <c r="AD105" s="310">
        <f>B103</f>
        <v>0</v>
      </c>
      <c r="AE105" s="197" t="s">
        <v>240</v>
      </c>
    </row>
    <row r="106" spans="1:31" ht="15" hidden="1" customHeight="1" outlineLevel="1" x14ac:dyDescent="0.3">
      <c r="A106" s="39" t="s">
        <v>398</v>
      </c>
      <c r="B106" s="281">
        <f>IFERROR(IF(B105=".", 0, VLOOKUP(B105, Ред!$B:$F, 4, 0)),0)</f>
        <v>0</v>
      </c>
      <c r="F106" s="124"/>
      <c r="G106" s="124"/>
      <c r="H106" s="124"/>
      <c r="X106" s="162">
        <v>7</v>
      </c>
      <c r="Y106" s="164" t="s">
        <v>244</v>
      </c>
      <c r="Z106" s="167" t="s">
        <v>245</v>
      </c>
      <c r="AA106" s="164">
        <f>(B101+B102)*2/1000*AD106</f>
        <v>0</v>
      </c>
      <c r="AB106" s="164"/>
      <c r="AC106" s="164"/>
      <c r="AD106" s="310">
        <f>B103</f>
        <v>0</v>
      </c>
      <c r="AE106" s="197" t="s">
        <v>240</v>
      </c>
    </row>
    <row r="107" spans="1:31" s="40" customFormat="1" ht="15" hidden="1" customHeight="1" outlineLevel="1" x14ac:dyDescent="0.3">
      <c r="A107" s="39" t="s">
        <v>399</v>
      </c>
      <c r="B107" s="282">
        <f>B101-6</f>
        <v>-6</v>
      </c>
      <c r="C107" s="39"/>
      <c r="D107" s="39"/>
      <c r="E107" s="39"/>
      <c r="F107" s="124"/>
      <c r="G107" s="124"/>
      <c r="X107" s="162">
        <v>8</v>
      </c>
      <c r="Y107" s="165" t="s">
        <v>246</v>
      </c>
      <c r="Z107" s="167" t="s">
        <v>247</v>
      </c>
      <c r="AA107" s="164">
        <f>0.02*AD107</f>
        <v>0</v>
      </c>
      <c r="AB107" s="164"/>
      <c r="AC107" s="164"/>
      <c r="AD107" s="310">
        <f>B103</f>
        <v>0</v>
      </c>
      <c r="AE107" s="197" t="s">
        <v>240</v>
      </c>
    </row>
    <row r="108" spans="1:31" ht="15" hidden="1" customHeight="1" outlineLevel="1" x14ac:dyDescent="0.3">
      <c r="A108" s="39" t="s">
        <v>400</v>
      </c>
      <c r="B108" s="282">
        <f>B102-6</f>
        <v>-6</v>
      </c>
      <c r="C108" s="5"/>
      <c r="D108" s="124"/>
      <c r="E108" s="124"/>
      <c r="F108" s="124"/>
      <c r="G108" s="124"/>
      <c r="H108" s="124"/>
      <c r="X108" s="162">
        <v>9</v>
      </c>
      <c r="Y108" s="164" t="s">
        <v>475</v>
      </c>
      <c r="Z108" s="167" t="s">
        <v>474</v>
      </c>
      <c r="AA108" s="193">
        <f>(((B102*2)/1000)+0.5)/66*B103</f>
        <v>0</v>
      </c>
      <c r="AB108" s="164"/>
      <c r="AC108" s="164"/>
      <c r="AD108" s="310">
        <f>B103</f>
        <v>0</v>
      </c>
      <c r="AE108" s="197" t="s">
        <v>240</v>
      </c>
    </row>
    <row r="109" spans="1:31" ht="15" hidden="1" customHeight="1" outlineLevel="1" x14ac:dyDescent="0.3">
      <c r="A109" s="39" t="s">
        <v>401</v>
      </c>
      <c r="B109" s="283">
        <f>B107*B108/1000000</f>
        <v>3.6000000000000001E-5</v>
      </c>
      <c r="C109" s="5"/>
      <c r="D109" s="124"/>
      <c r="E109" s="124"/>
      <c r="F109" s="124"/>
      <c r="G109" s="124"/>
      <c r="H109" s="124"/>
      <c r="X109" s="162">
        <v>10</v>
      </c>
      <c r="Y109" s="164" t="s">
        <v>248</v>
      </c>
      <c r="Z109" s="167" t="s">
        <v>249</v>
      </c>
      <c r="AA109" s="193">
        <f>((B102*8/1000)+0.5)/45*B103</f>
        <v>0</v>
      </c>
      <c r="AB109" s="164"/>
      <c r="AC109" s="164"/>
      <c r="AD109" s="310">
        <f>B103</f>
        <v>0</v>
      </c>
      <c r="AE109" s="197" t="s">
        <v>240</v>
      </c>
    </row>
    <row r="110" spans="1:31" ht="15" hidden="1" customHeight="1" outlineLevel="1" x14ac:dyDescent="0.3">
      <c r="A110" s="145" t="s">
        <v>402</v>
      </c>
      <c r="B110" s="284">
        <f>B106*B109*B103</f>
        <v>0</v>
      </c>
      <c r="H110" s="124"/>
      <c r="X110" s="188">
        <v>11</v>
      </c>
      <c r="Y110" s="189" t="s">
        <v>250</v>
      </c>
      <c r="Z110" s="190" t="s">
        <v>251</v>
      </c>
      <c r="AA110" s="189">
        <f>((B102*4/1000)+1)</f>
        <v>1</v>
      </c>
      <c r="AB110" s="189"/>
      <c r="AC110" s="189"/>
      <c r="AD110" s="311">
        <f>B103</f>
        <v>0</v>
      </c>
      <c r="AE110" s="197" t="s">
        <v>240</v>
      </c>
    </row>
    <row r="111" spans="1:31" ht="15" hidden="1" customHeight="1" outlineLevel="1" x14ac:dyDescent="0.3">
      <c r="A111" s="39" t="s">
        <v>576</v>
      </c>
      <c r="B111" s="356">
        <f>IFERROR(IF(D111,(B107+B108)/1000*2*F111*B103,0),0)</f>
        <v>0</v>
      </c>
      <c r="C111" s="39" t="s">
        <v>574</v>
      </c>
      <c r="D111" s="39">
        <f>IFERROR(INDEX(Вставки[Обработка],MATCH(B105,Вставки[арт],0)) = 1,0)</f>
        <v>0</v>
      </c>
      <c r="E111" s="39" t="s">
        <v>6</v>
      </c>
      <c r="F111" s="356">
        <f>Ред!$E$33</f>
        <v>520.27052307692293</v>
      </c>
      <c r="H111" s="124"/>
      <c r="X111" s="189">
        <v>12</v>
      </c>
      <c r="Y111" s="189" t="s">
        <v>279</v>
      </c>
      <c r="Z111" s="167" t="s">
        <v>280</v>
      </c>
      <c r="AA111" s="189">
        <v>1</v>
      </c>
      <c r="AB111" s="164"/>
      <c r="AC111" s="189"/>
      <c r="AD111" s="310">
        <v>1</v>
      </c>
      <c r="AE111" s="256" t="s">
        <v>240</v>
      </c>
    </row>
    <row r="112" spans="1:31" ht="15" hidden="1" customHeight="1" outlineLevel="1" x14ac:dyDescent="0.3">
      <c r="A112" s="5"/>
      <c r="B112" s="288" t="s">
        <v>15</v>
      </c>
      <c r="C112" s="289" t="s">
        <v>371</v>
      </c>
      <c r="D112" s="290" t="s">
        <v>5</v>
      </c>
      <c r="E112" s="290" t="s">
        <v>3</v>
      </c>
      <c r="F112" s="291" t="s">
        <v>380</v>
      </c>
      <c r="G112" s="291" t="s">
        <v>7</v>
      </c>
      <c r="H112" s="124"/>
      <c r="X112" s="162">
        <v>13</v>
      </c>
      <c r="Y112" s="49" t="e">
        <f>INDEX(Ред!$A:$A,MATCH(Z112,Ред!B:B,0))</f>
        <v>#N/A</v>
      </c>
      <c r="Z112" s="386">
        <f>B121</f>
        <v>0</v>
      </c>
      <c r="AA112" s="50">
        <f>D121</f>
        <v>0</v>
      </c>
      <c r="AB112" s="164"/>
      <c r="AC112" s="164"/>
      <c r="AD112" s="310">
        <f>AA112</f>
        <v>0</v>
      </c>
      <c r="AE112" s="164" t="s">
        <v>241</v>
      </c>
    </row>
    <row r="113" spans="1:31" ht="15" hidden="1" customHeight="1" outlineLevel="1" x14ac:dyDescent="0.3">
      <c r="A113" s="292" t="s">
        <v>104</v>
      </c>
      <c r="B113" s="49" t="str">
        <f>INDEX(ПрофилиMAXАрт[полноенаим],MATCH(B99&amp;C113,ПрофилиMAXАрт[поиск],0))</f>
        <v>Фасад, Рамочный узкий профиль</v>
      </c>
      <c r="C113" s="21" t="str">
        <f>IF(A113=INDEX($P$3:$P$12, B98), "Да", "Нет")</f>
        <v>Нет</v>
      </c>
      <c r="D113" s="48" t="e">
        <f>INDEX(ПрофилиMAXАрт[], MATCH(B113, ПрофилиMAXАрт[полноенаим], 0), MATCH(B100, ПрофилиMAXАрт[#Headers], 0))</f>
        <v>#N/A</v>
      </c>
      <c r="E113" s="293" t="e">
        <f>VLOOKUP(D113, Ред!$B:$F, 4, 0)</f>
        <v>#N/A</v>
      </c>
      <c r="F113" s="48">
        <f>B101+IF(C113="Да", 200, 100)</f>
        <v>100</v>
      </c>
      <c r="G113" s="293" t="e">
        <f>E113/5400*F113*B103</f>
        <v>#N/A</v>
      </c>
      <c r="H113" s="124"/>
      <c r="X113" s="164">
        <v>14</v>
      </c>
      <c r="Y113" s="164" t="e">
        <f>INDEX(Ред!$A:$A,MATCH(Z113,Ред!B:B,0))</f>
        <v>#N/A</v>
      </c>
      <c r="Z113" s="386">
        <f>B122</f>
        <v>0</v>
      </c>
      <c r="AA113" s="164">
        <f>ROUNDUP(D122/2.6,1)</f>
        <v>0</v>
      </c>
      <c r="AB113" s="164"/>
      <c r="AC113" s="164"/>
      <c r="AD113" s="310">
        <f>B103</f>
        <v>0</v>
      </c>
      <c r="AE113" s="164" t="s">
        <v>240</v>
      </c>
    </row>
    <row r="114" spans="1:31" ht="15" hidden="1" customHeight="1" outlineLevel="1" x14ac:dyDescent="0.3">
      <c r="A114" s="292" t="s">
        <v>210</v>
      </c>
      <c r="B114" s="49" t="str">
        <f>INDEX(ПрофилиMAXАрт[полноенаим],MATCH(B99&amp;C114,ПрофилиMAXАрт[поиск],0))</f>
        <v>Фасад, Рамочный узкий профиль</v>
      </c>
      <c r="C114" s="21" t="str">
        <f>IF(A114=INDEX($P$3:$P$12, B98), "Да", "Нет")</f>
        <v>Нет</v>
      </c>
      <c r="D114" s="48" t="e">
        <f>INDEX(ПрофилиMAXАрт[], MATCH(B114, ПрофилиMAXАрт[полноенаим], 0), MATCH(B100, ПрофилиMAXАрт[#Headers], 0))</f>
        <v>#N/A</v>
      </c>
      <c r="E114" s="293" t="e">
        <f>VLOOKUP(D114, Ред!$B:$F, 4, 0)</f>
        <v>#N/A</v>
      </c>
      <c r="F114" s="48">
        <f>B102+IF(C114="Да", 200, 100)</f>
        <v>100</v>
      </c>
      <c r="G114" s="293" t="e">
        <f>E114/5400*F114*B103</f>
        <v>#N/A</v>
      </c>
      <c r="H114" s="124"/>
      <c r="X114" s="164">
        <v>15</v>
      </c>
      <c r="Y114" s="164" t="e">
        <f>INDEX(Ред!$A:$A,MATCH(Z114,Ред!B:B,0))</f>
        <v>#N/A</v>
      </c>
      <c r="Z114" s="386">
        <f>B120</f>
        <v>0</v>
      </c>
      <c r="AA114" s="309">
        <f>D120</f>
        <v>0</v>
      </c>
      <c r="AB114" s="164"/>
      <c r="AC114" s="164"/>
      <c r="AD114" s="310">
        <f>B103</f>
        <v>0</v>
      </c>
      <c r="AE114" s="164" t="s">
        <v>241</v>
      </c>
    </row>
    <row r="115" spans="1:31" ht="15" hidden="1" customHeight="1" outlineLevel="1" x14ac:dyDescent="0.3">
      <c r="A115" s="292" t="s">
        <v>230</v>
      </c>
      <c r="B115" s="49" t="str">
        <f>INDEX(ПрофилиMAXАрт[полноенаим],MATCH(B99&amp;C115,ПрофилиMAXАрт[поиск],0))</f>
        <v>Фасад, Рамочный узкий профиль</v>
      </c>
      <c r="C115" s="21" t="str">
        <f>IF(A115=INDEX($P$3:$P$12, B98), "Да", "Нет")</f>
        <v>Нет</v>
      </c>
      <c r="D115" s="48" t="e">
        <f>INDEX(ПрофилиMAXАрт[], MATCH(B115, ПрофилиMAXАрт[полноенаим], 0), MATCH(B100, ПрофилиMAXАрт[#Headers], 0))</f>
        <v>#N/A</v>
      </c>
      <c r="E115" s="293" t="e">
        <f>VLOOKUP(D115, Ред!$B:$F, 4, 0)</f>
        <v>#N/A</v>
      </c>
      <c r="F115" s="48">
        <f>B101+IF(C115="Да", 200, 100)</f>
        <v>100</v>
      </c>
      <c r="G115" s="293" t="e">
        <f>E115/5400*F115*B103</f>
        <v>#N/A</v>
      </c>
      <c r="H115" s="124"/>
    </row>
    <row r="116" spans="1:31" ht="15" hidden="1" customHeight="1" outlineLevel="1" x14ac:dyDescent="0.3">
      <c r="A116" s="292" t="s">
        <v>211</v>
      </c>
      <c r="B116" s="49" t="str">
        <f>INDEX(ПрофилиMAXАрт[полноенаим],MATCH(B99&amp;C116,ПрофилиMAXАрт[поиск],0))</f>
        <v>Фасад, Рамочный узкий профиль</v>
      </c>
      <c r="C116" s="21" t="str">
        <f>IF(A116=INDEX($P$3:$P$12, B98), "Да", "Нет")</f>
        <v>Нет</v>
      </c>
      <c r="D116" s="48" t="e">
        <f>INDEX(ПрофилиMAXАрт[], MATCH(B116, ПрофилиMAXАрт[полноенаим], 0), MATCH(B100, ПрофилиMAXАрт[#Headers], 0))</f>
        <v>#N/A</v>
      </c>
      <c r="E116" s="293" t="e">
        <f>VLOOKUP(D116, Ред!$B:$F, 4, 0)</f>
        <v>#N/A</v>
      </c>
      <c r="F116" s="48">
        <f>B102+IF(C116="Да", 200, 100)</f>
        <v>100</v>
      </c>
      <c r="G116" s="293" t="e">
        <f>E116/5400*F116*B103</f>
        <v>#N/A</v>
      </c>
      <c r="H116" s="124"/>
    </row>
    <row r="117" spans="1:31" ht="15" hidden="1" customHeight="1" outlineLevel="1" x14ac:dyDescent="0.3">
      <c r="H117" s="124"/>
    </row>
    <row r="118" spans="1:31" ht="15" hidden="1" customHeight="1" outlineLevel="1" thickBot="1" x14ac:dyDescent="0.35">
      <c r="A118" s="297" t="s">
        <v>676</v>
      </c>
      <c r="B118" s="298" t="s">
        <v>389</v>
      </c>
      <c r="C118" s="299">
        <f>INDEX($Q$3:$Q$12, B98)</f>
        <v>0</v>
      </c>
      <c r="H118" s="124"/>
    </row>
    <row r="119" spans="1:31" ht="15" hidden="1" customHeight="1" outlineLevel="1" x14ac:dyDescent="0.3">
      <c r="B119" s="296" t="s">
        <v>390</v>
      </c>
      <c r="C119" s="19" t="s">
        <v>6</v>
      </c>
      <c r="D119" s="48" t="s">
        <v>379</v>
      </c>
      <c r="E119" s="48" t="s">
        <v>270</v>
      </c>
      <c r="F119" s="124"/>
      <c r="G119" s="124"/>
      <c r="H119" s="124"/>
    </row>
    <row r="120" spans="1:31" ht="15" hidden="1" customHeight="1" outlineLevel="1" x14ac:dyDescent="0.3">
      <c r="A120" s="294" t="s">
        <v>382</v>
      </c>
      <c r="B120" s="295">
        <f>IFERROR(INDEX(ФурнитураMAX[Петли], MATCH(C118,ФурнитураMAX[Цвет петель], 0)),0)</f>
        <v>0</v>
      </c>
      <c r="C120" s="293">
        <f>IFERROR(VLOOKUP(B120, Ред!$B:$F, 4, 0),0)</f>
        <v>0</v>
      </c>
      <c r="D120" s="50">
        <f>IF(INDEX($U$3:$U$12, B98)=0, 0, B103)</f>
        <v>0</v>
      </c>
      <c r="E120" s="48">
        <f>C120*D120</f>
        <v>0</v>
      </c>
      <c r="F120" s="124"/>
      <c r="G120" s="124"/>
      <c r="H120" s="124"/>
    </row>
    <row r="121" spans="1:31" ht="15" hidden="1" customHeight="1" outlineLevel="1" x14ac:dyDescent="0.3">
      <c r="A121" s="294" t="s">
        <v>383</v>
      </c>
      <c r="B121" s="295">
        <f>IFERROR(INDEX(ФурнитураMAX[Уголок], MATCH(C118,ФурнитураMAX[Цвет петель], 0)),0)</f>
        <v>0</v>
      </c>
      <c r="C121" s="293">
        <f>IFERROR(IF(B121="Нет", 0, VLOOKUP(B121, Ред!$B:$F, 4, 0)),0)</f>
        <v>0</v>
      </c>
      <c r="D121" s="50">
        <f>B103</f>
        <v>0</v>
      </c>
      <c r="E121" s="48">
        <f>C121*D121</f>
        <v>0</v>
      </c>
      <c r="H121" s="124"/>
    </row>
    <row r="122" spans="1:31" ht="15" hidden="1" customHeight="1" outlineLevel="1" x14ac:dyDescent="0.3">
      <c r="A122" s="294" t="s">
        <v>384</v>
      </c>
      <c r="B122" s="295">
        <f>IFERROR(INDEX(ФурнитураMAX[Уплотнитель], MATCH(C118,ФурнитураMAX[Цвет петель], 0)),0)</f>
        <v>0</v>
      </c>
      <c r="C122" s="293">
        <f>IFERROR(VLOOKUP(B122, Ред!$B:$F, 4, 0)/3,0)</f>
        <v>0</v>
      </c>
      <c r="D122" s="49">
        <f>CEILING((B101+B102)*2*B103/1000,1)</f>
        <v>0</v>
      </c>
      <c r="E122" s="48">
        <f>C122*D122</f>
        <v>0</v>
      </c>
      <c r="H122" s="124"/>
    </row>
    <row r="123" spans="1:31" ht="15" hidden="1" customHeight="1" outlineLevel="1" x14ac:dyDescent="0.3">
      <c r="A123" s="70" t="s">
        <v>97</v>
      </c>
      <c r="B123" s="300"/>
      <c r="C123" s="71"/>
      <c r="D123" s="301"/>
      <c r="E123" s="71">
        <v>413</v>
      </c>
      <c r="F123" s="124"/>
      <c r="G123" s="124"/>
      <c r="H123" s="124"/>
    </row>
    <row r="124" spans="1:31" ht="15" hidden="1" customHeight="1" outlineLevel="1" x14ac:dyDescent="0.3">
      <c r="A124" s="70" t="s">
        <v>98</v>
      </c>
      <c r="B124" s="71"/>
      <c r="C124" s="71"/>
      <c r="D124" s="71"/>
      <c r="E124" s="71">
        <v>413</v>
      </c>
      <c r="H124" s="124"/>
    </row>
    <row r="125" spans="1:31" ht="15" hidden="1" customHeight="1" outlineLevel="1" x14ac:dyDescent="0.3"/>
    <row r="126" spans="1:31" ht="15" hidden="1" customHeight="1" outlineLevel="1" thickBot="1" x14ac:dyDescent="0.35">
      <c r="A126" s="302" t="s">
        <v>395</v>
      </c>
      <c r="B126" s="285" t="e">
        <f>SUM(B110, B111, G113:G116, E120:E124)</f>
        <v>#N/A</v>
      </c>
      <c r="C126" s="385" t="e">
        <f>SUM(B110:B111, G113:G116, E122:E124)</f>
        <v>#N/A</v>
      </c>
      <c r="F126" s="278"/>
    </row>
    <row r="127" spans="1:31" ht="15" hidden="1" customHeight="1" outlineLevel="1" thickTop="1" x14ac:dyDescent="0.3">
      <c r="A127" s="145"/>
      <c r="B127" s="134"/>
      <c r="D127" s="124"/>
      <c r="E127" s="124"/>
      <c r="F127" s="124"/>
      <c r="G127" s="124"/>
      <c r="H127" s="124"/>
    </row>
    <row r="128" spans="1:31" ht="15.6" hidden="1" outlineLevel="1" x14ac:dyDescent="0.3">
      <c r="A128" s="145"/>
      <c r="B128" s="134"/>
      <c r="C128" s="5"/>
    </row>
    <row r="129" spans="1:31" ht="16.2" hidden="1" outlineLevel="1" thickBot="1" x14ac:dyDescent="0.35">
      <c r="A129" s="145"/>
      <c r="B129" s="134"/>
      <c r="C129" s="5"/>
      <c r="X129" s="661" t="s">
        <v>258</v>
      </c>
      <c r="Y129" s="661"/>
      <c r="Z129" s="661"/>
      <c r="AA129" s="661"/>
      <c r="AB129" s="661"/>
      <c r="AC129" s="661"/>
      <c r="AD129" s="661"/>
      <c r="AE129" s="661"/>
    </row>
    <row r="130" spans="1:31" ht="15" customHeight="1" collapsed="1" thickTop="1" thickBot="1" x14ac:dyDescent="0.45">
      <c r="A130" s="286" t="s">
        <v>396</v>
      </c>
      <c r="B130" s="287">
        <v>5</v>
      </c>
      <c r="X130" s="147" t="s">
        <v>115</v>
      </c>
      <c r="Y130" s="147" t="s">
        <v>232</v>
      </c>
      <c r="Z130" s="147" t="s">
        <v>233</v>
      </c>
      <c r="AA130" s="163" t="s">
        <v>149</v>
      </c>
      <c r="AB130" s="147" t="s">
        <v>234</v>
      </c>
      <c r="AC130" s="147" t="s">
        <v>235</v>
      </c>
      <c r="AD130" s="148" t="s">
        <v>236</v>
      </c>
      <c r="AE130" s="147" t="s">
        <v>237</v>
      </c>
    </row>
    <row r="131" spans="1:31" ht="15" hidden="1" customHeight="1" outlineLevel="1" thickTop="1" x14ac:dyDescent="0.3">
      <c r="A131" s="134" t="s">
        <v>358</v>
      </c>
      <c r="B131" s="279" t="s">
        <v>365</v>
      </c>
      <c r="C131" s="5"/>
      <c r="X131" s="161"/>
      <c r="Y131" s="191" t="s">
        <v>15</v>
      </c>
      <c r="Z131" s="191" t="s">
        <v>5</v>
      </c>
      <c r="AA131" s="191" t="s">
        <v>238</v>
      </c>
      <c r="AB131" s="191" t="s">
        <v>239</v>
      </c>
      <c r="AC131" s="195" t="s">
        <v>16</v>
      </c>
      <c r="AD131" s="196" t="s">
        <v>8</v>
      </c>
      <c r="AE131" s="191"/>
    </row>
    <row r="132" spans="1:31" ht="15" hidden="1" customHeight="1" outlineLevel="1" x14ac:dyDescent="0.3">
      <c r="A132" s="5" t="s">
        <v>376</v>
      </c>
      <c r="B132" s="279" t="e">
        <f>INDEX($L$3:$L$12, B130)</f>
        <v>#N/A</v>
      </c>
      <c r="C132" s="5"/>
      <c r="X132" s="162">
        <v>1</v>
      </c>
      <c r="Y132" s="162" t="str">
        <f>B145</f>
        <v>Фасад, Рамочный узкий профиль</v>
      </c>
      <c r="Z132" s="166" t="e">
        <f>D145</f>
        <v>#N/A</v>
      </c>
      <c r="AA132" s="192">
        <f>ROUNDUP(F145/5400*1.1*AD132, 2)</f>
        <v>0</v>
      </c>
      <c r="AB132" s="194"/>
      <c r="AC132" s="162" t="str">
        <f>B133&amp;"мм-"&amp;B135&amp;"шт"</f>
        <v>0мм-0шт</v>
      </c>
      <c r="AD132" s="310">
        <f>B135</f>
        <v>0</v>
      </c>
      <c r="AE132" s="197" t="s">
        <v>240</v>
      </c>
    </row>
    <row r="133" spans="1:31" ht="15" hidden="1" customHeight="1" outlineLevel="1" x14ac:dyDescent="0.3">
      <c r="A133" s="5" t="s">
        <v>4</v>
      </c>
      <c r="B133" s="279">
        <f>INDEX($R$3:$R$12, B130)</f>
        <v>0</v>
      </c>
      <c r="C133" s="5"/>
      <c r="X133" s="162">
        <v>2</v>
      </c>
      <c r="Y133" s="162" t="str">
        <f>B146</f>
        <v>Фасад, Рамочный узкий профиль</v>
      </c>
      <c r="Z133" s="166" t="e">
        <f>D146</f>
        <v>#N/A</v>
      </c>
      <c r="AA133" s="192">
        <f>ROUNDUP(F146/5400*1.1*AD133, 2)</f>
        <v>0</v>
      </c>
      <c r="AB133" s="162"/>
      <c r="AC133" s="162" t="str">
        <f>B134&amp;"мм-"&amp;B135&amp;"шт"</f>
        <v>0мм-0шт</v>
      </c>
      <c r="AD133" s="310">
        <f>B135</f>
        <v>0</v>
      </c>
      <c r="AE133" s="197" t="s">
        <v>240</v>
      </c>
    </row>
    <row r="134" spans="1:31" ht="15" hidden="1" customHeight="1" outlineLevel="1" x14ac:dyDescent="0.3">
      <c r="A134" s="5" t="s">
        <v>1</v>
      </c>
      <c r="B134" s="279">
        <f>INDEX($S$3:$S$12, B130)</f>
        <v>0</v>
      </c>
      <c r="D134" s="134"/>
      <c r="E134" s="124"/>
      <c r="F134" s="124"/>
      <c r="G134" s="124"/>
      <c r="X134" s="162">
        <v>3</v>
      </c>
      <c r="Y134" s="164" t="str">
        <f>B147</f>
        <v>Фасад, Рамочный узкий профиль</v>
      </c>
      <c r="Z134" s="193" t="e">
        <f>D147</f>
        <v>#N/A</v>
      </c>
      <c r="AA134" s="192">
        <f>ROUNDUP(F147/5400*1.1*AD134, 2)</f>
        <v>0</v>
      </c>
      <c r="AB134" s="164"/>
      <c r="AC134" s="162" t="str">
        <f>B133&amp;"мм-"&amp;B135&amp;"шт"</f>
        <v>0мм-0шт</v>
      </c>
      <c r="AD134" s="310">
        <f>B135</f>
        <v>0</v>
      </c>
      <c r="AE134" s="197" t="s">
        <v>240</v>
      </c>
    </row>
    <row r="135" spans="1:31" ht="15" hidden="1" customHeight="1" outlineLevel="1" x14ac:dyDescent="0.3">
      <c r="A135" s="39" t="s">
        <v>72</v>
      </c>
      <c r="B135" s="280">
        <f>INDEX($T$3:$T$12, B130)</f>
        <v>0</v>
      </c>
      <c r="C135" s="40"/>
      <c r="D135" s="40"/>
      <c r="E135" s="40"/>
      <c r="F135" s="271"/>
      <c r="G135" s="271"/>
      <c r="X135" s="162">
        <v>4</v>
      </c>
      <c r="Y135" s="164" t="str">
        <f>B148</f>
        <v>Фасад, Рамочный узкий профиль</v>
      </c>
      <c r="Z135" s="193" t="e">
        <f>D148</f>
        <v>#N/A</v>
      </c>
      <c r="AA135" s="192">
        <f>ROUNDUP(F148/5400*1.1*AD135, 2)</f>
        <v>0</v>
      </c>
      <c r="AB135" s="194"/>
      <c r="AC135" s="162" t="str">
        <f>B134&amp;"мм-"&amp;B135&amp;"шт"</f>
        <v>0мм-0шт</v>
      </c>
      <c r="AD135" s="310">
        <f>B135</f>
        <v>0</v>
      </c>
      <c r="AE135" s="197" t="s">
        <v>240</v>
      </c>
    </row>
    <row r="136" spans="1:31" ht="15" hidden="1" customHeight="1" outlineLevel="1" x14ac:dyDescent="0.3">
      <c r="A136" s="39" t="s">
        <v>360</v>
      </c>
      <c r="B136" s="269">
        <f>INDEX($M$3:$M$12, B130)</f>
        <v>0</v>
      </c>
      <c r="F136" s="124"/>
      <c r="G136" s="124"/>
      <c r="X136" s="162">
        <v>5</v>
      </c>
      <c r="Y136" s="164">
        <f>B136</f>
        <v>0</v>
      </c>
      <c r="Z136" s="164" t="str">
        <f>B137</f>
        <v>.</v>
      </c>
      <c r="AA136" s="309">
        <f>B135</f>
        <v>0</v>
      </c>
      <c r="AB136" s="164" t="str">
        <f>CONCATENATE("В ",B139,", ","Ш ",B140)</f>
        <v>В -6, Ш -6</v>
      </c>
      <c r="AC136" s="164"/>
      <c r="AD136" s="310">
        <f>B135</f>
        <v>0</v>
      </c>
      <c r="AE136" s="197" t="s">
        <v>278</v>
      </c>
    </row>
    <row r="137" spans="1:31" ht="15" hidden="1" customHeight="1" outlineLevel="1" x14ac:dyDescent="0.3">
      <c r="A137" s="39" t="s">
        <v>381</v>
      </c>
      <c r="B137" s="269" t="str">
        <f>IFERROR(INDEX($N$3:$N$12, B130),0)</f>
        <v>.</v>
      </c>
      <c r="F137" s="124"/>
      <c r="G137" s="124"/>
      <c r="X137" s="162">
        <v>6</v>
      </c>
      <c r="Y137" s="164" t="s">
        <v>242</v>
      </c>
      <c r="Z137" s="167" t="s">
        <v>243</v>
      </c>
      <c r="AA137" s="164">
        <f>IF(B133&gt;550,2*AD137,1*AD137)</f>
        <v>0</v>
      </c>
      <c r="AB137" s="164"/>
      <c r="AC137" s="164"/>
      <c r="AD137" s="310">
        <f>B135</f>
        <v>0</v>
      </c>
      <c r="AE137" s="197" t="s">
        <v>240</v>
      </c>
    </row>
    <row r="138" spans="1:31" ht="15" hidden="1" customHeight="1" outlineLevel="1" x14ac:dyDescent="0.3">
      <c r="A138" s="39" t="s">
        <v>398</v>
      </c>
      <c r="B138" s="281">
        <f>IFERROR(IF(B137=".", 0, VLOOKUP(B137, Ред!$B:$F, 4, 0)),0)</f>
        <v>0</v>
      </c>
      <c r="F138" s="124"/>
      <c r="G138" s="124"/>
      <c r="H138" s="124"/>
      <c r="X138" s="162">
        <v>7</v>
      </c>
      <c r="Y138" s="164" t="s">
        <v>244</v>
      </c>
      <c r="Z138" s="167" t="s">
        <v>245</v>
      </c>
      <c r="AA138" s="164">
        <f>(B133+B134)*2/1000*AD138</f>
        <v>0</v>
      </c>
      <c r="AB138" s="164"/>
      <c r="AC138" s="164"/>
      <c r="AD138" s="310">
        <f>B135</f>
        <v>0</v>
      </c>
      <c r="AE138" s="197" t="s">
        <v>240</v>
      </c>
    </row>
    <row r="139" spans="1:31" s="40" customFormat="1" ht="15" hidden="1" customHeight="1" outlineLevel="1" x14ac:dyDescent="0.3">
      <c r="A139" s="39" t="s">
        <v>399</v>
      </c>
      <c r="B139" s="282">
        <f>B133-6</f>
        <v>-6</v>
      </c>
      <c r="C139" s="39"/>
      <c r="D139" s="39"/>
      <c r="E139" s="39"/>
      <c r="F139" s="124"/>
      <c r="G139" s="124"/>
      <c r="X139" s="162">
        <v>8</v>
      </c>
      <c r="Y139" s="165" t="s">
        <v>246</v>
      </c>
      <c r="Z139" s="167" t="s">
        <v>247</v>
      </c>
      <c r="AA139" s="164">
        <f>0.02*AD139</f>
        <v>0</v>
      </c>
      <c r="AB139" s="164"/>
      <c r="AC139" s="164"/>
      <c r="AD139" s="310">
        <f>B135</f>
        <v>0</v>
      </c>
      <c r="AE139" s="197" t="s">
        <v>240</v>
      </c>
    </row>
    <row r="140" spans="1:31" ht="15" hidden="1" customHeight="1" outlineLevel="1" x14ac:dyDescent="0.3">
      <c r="A140" s="39" t="s">
        <v>400</v>
      </c>
      <c r="B140" s="282">
        <f>B134-6</f>
        <v>-6</v>
      </c>
      <c r="C140" s="5"/>
      <c r="D140" s="124"/>
      <c r="E140" s="124"/>
      <c r="F140" s="124"/>
      <c r="G140" s="124"/>
      <c r="H140" s="124"/>
      <c r="X140" s="162">
        <v>9</v>
      </c>
      <c r="Y140" s="164" t="s">
        <v>475</v>
      </c>
      <c r="Z140" s="167" t="s">
        <v>474</v>
      </c>
      <c r="AA140" s="193">
        <f>(((B134*2)/1000)+0.5)/66*B135</f>
        <v>0</v>
      </c>
      <c r="AB140" s="164"/>
      <c r="AC140" s="164"/>
      <c r="AD140" s="310">
        <f>B135</f>
        <v>0</v>
      </c>
      <c r="AE140" s="197" t="s">
        <v>240</v>
      </c>
    </row>
    <row r="141" spans="1:31" ht="15" hidden="1" customHeight="1" outlineLevel="1" x14ac:dyDescent="0.3">
      <c r="A141" s="39" t="s">
        <v>401</v>
      </c>
      <c r="B141" s="283">
        <f>B139*B140/1000000</f>
        <v>3.6000000000000001E-5</v>
      </c>
      <c r="C141" s="5"/>
      <c r="D141" s="124"/>
      <c r="E141" s="124"/>
      <c r="F141" s="124"/>
      <c r="G141" s="124"/>
      <c r="H141" s="124"/>
      <c r="X141" s="162">
        <v>10</v>
      </c>
      <c r="Y141" s="164" t="s">
        <v>248</v>
      </c>
      <c r="Z141" s="167" t="s">
        <v>249</v>
      </c>
      <c r="AA141" s="193">
        <f>((B134*8/1000)+0.5)/45*B135</f>
        <v>0</v>
      </c>
      <c r="AB141" s="164"/>
      <c r="AC141" s="164"/>
      <c r="AD141" s="310">
        <f>B135</f>
        <v>0</v>
      </c>
      <c r="AE141" s="197" t="s">
        <v>240</v>
      </c>
    </row>
    <row r="142" spans="1:31" ht="15" hidden="1" customHeight="1" outlineLevel="1" x14ac:dyDescent="0.3">
      <c r="A142" s="145" t="s">
        <v>402</v>
      </c>
      <c r="B142" s="284">
        <f>B138*B141*B135</f>
        <v>0</v>
      </c>
      <c r="H142" s="124"/>
      <c r="X142" s="188">
        <v>11</v>
      </c>
      <c r="Y142" s="189" t="s">
        <v>250</v>
      </c>
      <c r="Z142" s="190" t="s">
        <v>251</v>
      </c>
      <c r="AA142" s="189">
        <f>((B134*4/1000)+1)</f>
        <v>1</v>
      </c>
      <c r="AB142" s="189"/>
      <c r="AC142" s="189"/>
      <c r="AD142" s="311">
        <f>B135</f>
        <v>0</v>
      </c>
      <c r="AE142" s="197" t="s">
        <v>240</v>
      </c>
    </row>
    <row r="143" spans="1:31" ht="15" hidden="1" customHeight="1" outlineLevel="1" x14ac:dyDescent="0.3">
      <c r="A143" s="39" t="s">
        <v>576</v>
      </c>
      <c r="B143" s="356">
        <f>IFERROR(IF(D143,(B139+B140)/1000*2*F143*B135,0),0)</f>
        <v>0</v>
      </c>
      <c r="C143" s="39" t="s">
        <v>574</v>
      </c>
      <c r="D143" s="39">
        <f>IFERROR(INDEX(Вставки[Обработка],MATCH(B137,Вставки[арт],0)) = 1,0)</f>
        <v>0</v>
      </c>
      <c r="E143" s="39" t="s">
        <v>6</v>
      </c>
      <c r="F143" s="356">
        <f>Ред!$E$33</f>
        <v>520.27052307692293</v>
      </c>
      <c r="H143" s="124"/>
      <c r="X143" s="189">
        <v>12</v>
      </c>
      <c r="Y143" s="189" t="s">
        <v>279</v>
      </c>
      <c r="Z143" s="167" t="s">
        <v>280</v>
      </c>
      <c r="AA143" s="189">
        <v>1</v>
      </c>
      <c r="AB143" s="164"/>
      <c r="AC143" s="189"/>
      <c r="AD143" s="310">
        <v>1</v>
      </c>
      <c r="AE143" s="256" t="s">
        <v>240</v>
      </c>
    </row>
    <row r="144" spans="1:31" ht="15" hidden="1" customHeight="1" outlineLevel="1" x14ac:dyDescent="0.3">
      <c r="A144" s="5"/>
      <c r="B144" s="288" t="s">
        <v>15</v>
      </c>
      <c r="C144" s="289" t="s">
        <v>371</v>
      </c>
      <c r="D144" s="290" t="s">
        <v>5</v>
      </c>
      <c r="E144" s="290" t="s">
        <v>3</v>
      </c>
      <c r="F144" s="291" t="s">
        <v>380</v>
      </c>
      <c r="G144" s="291" t="s">
        <v>7</v>
      </c>
      <c r="H144" s="124"/>
      <c r="X144" s="162">
        <v>13</v>
      </c>
      <c r="Y144" s="49" t="e">
        <f>INDEX(Ред!$A:$A,MATCH(Z144,Ред!B:B,0))</f>
        <v>#N/A</v>
      </c>
      <c r="Z144" s="386">
        <f>B153</f>
        <v>0</v>
      </c>
      <c r="AA144" s="50">
        <f>D153</f>
        <v>0</v>
      </c>
      <c r="AB144" s="164"/>
      <c r="AC144" s="164"/>
      <c r="AD144" s="310">
        <f>AA144</f>
        <v>0</v>
      </c>
      <c r="AE144" s="164" t="s">
        <v>241</v>
      </c>
    </row>
    <row r="145" spans="1:31" ht="15" hidden="1" customHeight="1" outlineLevel="1" x14ac:dyDescent="0.3">
      <c r="A145" s="292" t="s">
        <v>104</v>
      </c>
      <c r="B145" s="49" t="str">
        <f>INDEX(ПрофилиMAXАрт[полноенаим],MATCH(B131&amp;C145,ПрофилиMAXАрт[поиск],0))</f>
        <v>Фасад, Рамочный узкий профиль</v>
      </c>
      <c r="C145" s="21" t="str">
        <f>IF(A145=INDEX($P$3:$P$12, B130), "Да", "Нет")</f>
        <v>Нет</v>
      </c>
      <c r="D145" s="48" t="e">
        <f>INDEX(ПрофилиMAXАрт[], MATCH(B145, ПрофилиMAXАрт[полноенаим], 0), MATCH(B132, ПрофилиMAXАрт[#Headers], 0))</f>
        <v>#N/A</v>
      </c>
      <c r="E145" s="293" t="e">
        <f>VLOOKUP(D145, Ред!$B:$F, 4, 0)</f>
        <v>#N/A</v>
      </c>
      <c r="F145" s="48">
        <f>B133+IF(C145="Да", 200, 100)</f>
        <v>100</v>
      </c>
      <c r="G145" s="293" t="e">
        <f>E145/5400*F145*B135</f>
        <v>#N/A</v>
      </c>
      <c r="H145" s="124"/>
      <c r="X145" s="164">
        <v>14</v>
      </c>
      <c r="Y145" s="164" t="e">
        <f>INDEX(Ред!$A:$A,MATCH(Z145,Ред!B:B,0))</f>
        <v>#N/A</v>
      </c>
      <c r="Z145" s="386">
        <f>B154</f>
        <v>0</v>
      </c>
      <c r="AA145" s="164">
        <f>ROUNDUP(D154/2.6,1)</f>
        <v>0</v>
      </c>
      <c r="AB145" s="164"/>
      <c r="AC145" s="164"/>
      <c r="AD145" s="310">
        <f>B135</f>
        <v>0</v>
      </c>
      <c r="AE145" s="164" t="s">
        <v>240</v>
      </c>
    </row>
    <row r="146" spans="1:31" ht="15" hidden="1" customHeight="1" outlineLevel="1" x14ac:dyDescent="0.3">
      <c r="A146" s="292" t="s">
        <v>210</v>
      </c>
      <c r="B146" s="49" t="str">
        <f>INDEX(ПрофилиMAXАрт[полноенаим],MATCH(B131&amp;C146,ПрофилиMAXАрт[поиск],0))</f>
        <v>Фасад, Рамочный узкий профиль</v>
      </c>
      <c r="C146" s="21" t="str">
        <f>IF(A146=INDEX($P$3:$P$12, B130), "Да", "Нет")</f>
        <v>Нет</v>
      </c>
      <c r="D146" s="48" t="e">
        <f>INDEX(ПрофилиMAXАрт[], MATCH(B146, ПрофилиMAXАрт[полноенаим], 0), MATCH(B132, ПрофилиMAXАрт[#Headers], 0))</f>
        <v>#N/A</v>
      </c>
      <c r="E146" s="293" t="e">
        <f>VLOOKUP(D146, Ред!$B:$F, 4, 0)</f>
        <v>#N/A</v>
      </c>
      <c r="F146" s="48">
        <f>B134+IF(C146="Да", 200, 100)</f>
        <v>100</v>
      </c>
      <c r="G146" s="293" t="e">
        <f>E146/5400*F146*B135</f>
        <v>#N/A</v>
      </c>
      <c r="H146" s="124"/>
      <c r="X146" s="164">
        <v>15</v>
      </c>
      <c r="Y146" s="164" t="e">
        <f>INDEX(Ред!$A:$A,MATCH(Z146,Ред!B:B,0))</f>
        <v>#N/A</v>
      </c>
      <c r="Z146" s="386">
        <f>B152</f>
        <v>0</v>
      </c>
      <c r="AA146" s="309">
        <f>D152</f>
        <v>0</v>
      </c>
      <c r="AB146" s="164"/>
      <c r="AC146" s="164"/>
      <c r="AD146" s="310">
        <f>B135</f>
        <v>0</v>
      </c>
      <c r="AE146" s="164" t="s">
        <v>241</v>
      </c>
    </row>
    <row r="147" spans="1:31" ht="15" hidden="1" customHeight="1" outlineLevel="1" x14ac:dyDescent="0.3">
      <c r="A147" s="292" t="s">
        <v>230</v>
      </c>
      <c r="B147" s="49" t="str">
        <f>INDEX(ПрофилиMAXАрт[полноенаим],MATCH(B131&amp;C147,ПрофилиMAXАрт[поиск],0))</f>
        <v>Фасад, Рамочный узкий профиль</v>
      </c>
      <c r="C147" s="21" t="str">
        <f>IF(A147=INDEX($P$3:$P$12, B130), "Да", "Нет")</f>
        <v>Нет</v>
      </c>
      <c r="D147" s="48" t="e">
        <f>INDEX(ПрофилиMAXАрт[], MATCH(B147, ПрофилиMAXАрт[полноенаим], 0), MATCH(B132, ПрофилиMAXАрт[#Headers], 0))</f>
        <v>#N/A</v>
      </c>
      <c r="E147" s="293" t="e">
        <f>VLOOKUP(D147, Ред!$B:$F, 4, 0)</f>
        <v>#N/A</v>
      </c>
      <c r="F147" s="48">
        <f>B133+IF(C147="Да", 200, 100)</f>
        <v>100</v>
      </c>
      <c r="G147" s="293" t="e">
        <f>E147/5400*F147*B135</f>
        <v>#N/A</v>
      </c>
      <c r="H147" s="124"/>
    </row>
    <row r="148" spans="1:31" ht="15" hidden="1" customHeight="1" outlineLevel="1" x14ac:dyDescent="0.3">
      <c r="A148" s="292" t="s">
        <v>211</v>
      </c>
      <c r="B148" s="49" t="str">
        <f>INDEX(ПрофилиMAXАрт[полноенаим],MATCH(B131&amp;C148,ПрофилиMAXАрт[поиск],0))</f>
        <v>Фасад, Рамочный узкий профиль</v>
      </c>
      <c r="C148" s="21" t="str">
        <f>IF(A148=INDEX($P$3:$P$12, B130), "Да", "Нет")</f>
        <v>Нет</v>
      </c>
      <c r="D148" s="48" t="e">
        <f>INDEX(ПрофилиMAXАрт[], MATCH(B148, ПрофилиMAXАрт[полноенаим], 0), MATCH(B132, ПрофилиMAXАрт[#Headers], 0))</f>
        <v>#N/A</v>
      </c>
      <c r="E148" s="293" t="e">
        <f>VLOOKUP(D148, Ред!$B:$F, 4, 0)</f>
        <v>#N/A</v>
      </c>
      <c r="F148" s="48">
        <f>B134+IF(C148="Да", 200, 100)</f>
        <v>100</v>
      </c>
      <c r="G148" s="293" t="e">
        <f>E148/5400*F148*B135</f>
        <v>#N/A</v>
      </c>
      <c r="H148" s="124"/>
    </row>
    <row r="149" spans="1:31" ht="15" hidden="1" customHeight="1" outlineLevel="1" x14ac:dyDescent="0.3">
      <c r="H149" s="124"/>
    </row>
    <row r="150" spans="1:31" ht="15" hidden="1" customHeight="1" outlineLevel="1" thickBot="1" x14ac:dyDescent="0.35">
      <c r="A150" s="297" t="s">
        <v>676</v>
      </c>
      <c r="B150" s="298" t="s">
        <v>389</v>
      </c>
      <c r="C150" s="299">
        <f>INDEX($Q$3:$Q$12, B130)</f>
        <v>0</v>
      </c>
      <c r="H150" s="124"/>
    </row>
    <row r="151" spans="1:31" ht="15" hidden="1" customHeight="1" outlineLevel="1" x14ac:dyDescent="0.3">
      <c r="B151" s="296" t="s">
        <v>390</v>
      </c>
      <c r="C151" s="19" t="s">
        <v>6</v>
      </c>
      <c r="D151" s="48" t="s">
        <v>379</v>
      </c>
      <c r="E151" s="48" t="s">
        <v>270</v>
      </c>
      <c r="F151" s="124"/>
      <c r="G151" s="124"/>
      <c r="H151" s="124"/>
    </row>
    <row r="152" spans="1:31" ht="15" hidden="1" customHeight="1" outlineLevel="1" x14ac:dyDescent="0.3">
      <c r="A152" s="294" t="s">
        <v>382</v>
      </c>
      <c r="B152" s="295">
        <f>IFERROR(INDEX(ФурнитураMAX[Петли], MATCH(C150,ФурнитураMAX[Цвет петель], 0)),0)</f>
        <v>0</v>
      </c>
      <c r="C152" s="293">
        <f>IFERROR(VLOOKUP(B152, Ред!$B:$F, 4, 0),0)</f>
        <v>0</v>
      </c>
      <c r="D152" s="50">
        <f>IF(INDEX($U$3:$U$12, B130)=0, 0, B135)</f>
        <v>0</v>
      </c>
      <c r="E152" s="48">
        <f>C152*D152</f>
        <v>0</v>
      </c>
      <c r="F152" s="124"/>
      <c r="G152" s="124"/>
      <c r="H152" s="124"/>
    </row>
    <row r="153" spans="1:31" ht="15" hidden="1" customHeight="1" outlineLevel="1" x14ac:dyDescent="0.3">
      <c r="A153" s="294" t="s">
        <v>383</v>
      </c>
      <c r="B153" s="295">
        <f>IFERROR(INDEX(ФурнитураMAX[Уголок], MATCH(C150,ФурнитураMAX[Цвет петель], 0)),0)</f>
        <v>0</v>
      </c>
      <c r="C153" s="293">
        <f>IFERROR(IF(B153="Нет", 0, VLOOKUP(B153, Ред!$B:$F, 4, 0)),0)</f>
        <v>0</v>
      </c>
      <c r="D153" s="50">
        <f>B135</f>
        <v>0</v>
      </c>
      <c r="E153" s="48">
        <f>C153*D153</f>
        <v>0</v>
      </c>
      <c r="H153" s="124"/>
    </row>
    <row r="154" spans="1:31" ht="15" hidden="1" customHeight="1" outlineLevel="1" x14ac:dyDescent="0.3">
      <c r="A154" s="294" t="s">
        <v>384</v>
      </c>
      <c r="B154" s="295">
        <f>IFERROR(INDEX(ФурнитураMAX[Уплотнитель], MATCH(C150,ФурнитураMAX[Цвет петель], 0)),0)</f>
        <v>0</v>
      </c>
      <c r="C154" s="293">
        <f>IFERROR(VLOOKUP(B154, Ред!$B:$F, 4, 0)/3,0)</f>
        <v>0</v>
      </c>
      <c r="D154" s="49">
        <f>CEILING((B133+B134)*2*B135/1000,1)</f>
        <v>0</v>
      </c>
      <c r="E154" s="48">
        <f>C154*D154</f>
        <v>0</v>
      </c>
      <c r="H154" s="124"/>
    </row>
    <row r="155" spans="1:31" ht="15" hidden="1" customHeight="1" outlineLevel="1" x14ac:dyDescent="0.3">
      <c r="A155" s="70" t="s">
        <v>97</v>
      </c>
      <c r="B155" s="300"/>
      <c r="C155" s="71"/>
      <c r="D155" s="301"/>
      <c r="E155" s="71">
        <v>413</v>
      </c>
      <c r="F155" s="124"/>
      <c r="G155" s="124"/>
      <c r="H155" s="124"/>
    </row>
    <row r="156" spans="1:31" ht="15" hidden="1" customHeight="1" outlineLevel="1" x14ac:dyDescent="0.3">
      <c r="A156" s="70" t="s">
        <v>98</v>
      </c>
      <c r="B156" s="71"/>
      <c r="C156" s="71"/>
      <c r="D156" s="71"/>
      <c r="E156" s="71">
        <v>413</v>
      </c>
      <c r="H156" s="124"/>
    </row>
    <row r="157" spans="1:31" ht="15" hidden="1" customHeight="1" outlineLevel="1" x14ac:dyDescent="0.3"/>
    <row r="158" spans="1:31" ht="15" hidden="1" customHeight="1" outlineLevel="1" thickBot="1" x14ac:dyDescent="0.35">
      <c r="A158" s="302" t="s">
        <v>395</v>
      </c>
      <c r="B158" s="285" t="e">
        <f>SUM(B142, B143, G145:G148, E152:E156)</f>
        <v>#N/A</v>
      </c>
      <c r="C158" s="385" t="e">
        <f>SUM(B142:B143, G145:G148, E154:E156)</f>
        <v>#N/A</v>
      </c>
      <c r="F158" s="278"/>
    </row>
    <row r="159" spans="1:31" ht="15" hidden="1" customHeight="1" outlineLevel="1" thickTop="1" x14ac:dyDescent="0.3">
      <c r="A159" s="145"/>
      <c r="B159" s="134"/>
      <c r="D159" s="124"/>
      <c r="E159" s="124"/>
      <c r="F159" s="124"/>
      <c r="G159" s="124"/>
      <c r="H159" s="124"/>
    </row>
    <row r="160" spans="1:31" ht="15.6" hidden="1" outlineLevel="1" x14ac:dyDescent="0.3">
      <c r="A160" s="145"/>
      <c r="B160" s="134"/>
      <c r="C160" s="5"/>
    </row>
    <row r="161" spans="1:31" ht="16.2" hidden="1" outlineLevel="1" thickBot="1" x14ac:dyDescent="0.35">
      <c r="A161" s="145"/>
      <c r="B161" s="134"/>
      <c r="C161" s="5"/>
      <c r="X161" s="661" t="s">
        <v>257</v>
      </c>
      <c r="Y161" s="661"/>
      <c r="Z161" s="661"/>
      <c r="AA161" s="661"/>
      <c r="AB161" s="661"/>
      <c r="AC161" s="661"/>
      <c r="AD161" s="661"/>
      <c r="AE161" s="661"/>
    </row>
    <row r="162" spans="1:31" ht="15" customHeight="1" collapsed="1" thickTop="1" thickBot="1" x14ac:dyDescent="0.45">
      <c r="A162" s="286" t="s">
        <v>396</v>
      </c>
      <c r="B162" s="287">
        <v>6</v>
      </c>
      <c r="X162" s="147" t="s">
        <v>115</v>
      </c>
      <c r="Y162" s="147" t="s">
        <v>232</v>
      </c>
      <c r="Z162" s="147" t="s">
        <v>233</v>
      </c>
      <c r="AA162" s="163" t="s">
        <v>149</v>
      </c>
      <c r="AB162" s="147" t="s">
        <v>234</v>
      </c>
      <c r="AC162" s="147" t="s">
        <v>235</v>
      </c>
      <c r="AD162" s="148" t="s">
        <v>236</v>
      </c>
      <c r="AE162" s="147" t="s">
        <v>237</v>
      </c>
    </row>
    <row r="163" spans="1:31" ht="15" hidden="1" customHeight="1" outlineLevel="1" thickTop="1" x14ac:dyDescent="0.3">
      <c r="A163" s="134" t="s">
        <v>358</v>
      </c>
      <c r="B163" s="279" t="s">
        <v>365</v>
      </c>
      <c r="C163" s="5"/>
      <c r="X163" s="161"/>
      <c r="Y163" s="191" t="s">
        <v>15</v>
      </c>
      <c r="Z163" s="191" t="s">
        <v>5</v>
      </c>
      <c r="AA163" s="191" t="s">
        <v>238</v>
      </c>
      <c r="AB163" s="191" t="s">
        <v>239</v>
      </c>
      <c r="AC163" s="195" t="s">
        <v>16</v>
      </c>
      <c r="AD163" s="196" t="s">
        <v>8</v>
      </c>
      <c r="AE163" s="191"/>
    </row>
    <row r="164" spans="1:31" ht="15" hidden="1" customHeight="1" outlineLevel="1" x14ac:dyDescent="0.3">
      <c r="A164" s="5" t="s">
        <v>376</v>
      </c>
      <c r="B164" s="279" t="e">
        <f>INDEX($L$3:$L$12, B162)</f>
        <v>#N/A</v>
      </c>
      <c r="C164" s="5"/>
      <c r="X164" s="162">
        <v>1</v>
      </c>
      <c r="Y164" s="162" t="str">
        <f>B177</f>
        <v>Фасад, Рамочный узкий профиль</v>
      </c>
      <c r="Z164" s="166" t="e">
        <f>D177</f>
        <v>#N/A</v>
      </c>
      <c r="AA164" s="192">
        <f>ROUNDUP(F177/5400*1.1*AD164, 2)</f>
        <v>0</v>
      </c>
      <c r="AB164" s="194"/>
      <c r="AC164" s="162" t="str">
        <f>B165&amp;"мм-"&amp;B167&amp;"шт"</f>
        <v>0мм-0шт</v>
      </c>
      <c r="AD164" s="310">
        <f>B167</f>
        <v>0</v>
      </c>
      <c r="AE164" s="197" t="s">
        <v>240</v>
      </c>
    </row>
    <row r="165" spans="1:31" ht="15" hidden="1" customHeight="1" outlineLevel="1" x14ac:dyDescent="0.3">
      <c r="A165" s="5" t="s">
        <v>4</v>
      </c>
      <c r="B165" s="279">
        <f>INDEX($R$3:$R$12, B162)</f>
        <v>0</v>
      </c>
      <c r="C165" s="5"/>
      <c r="X165" s="162">
        <v>2</v>
      </c>
      <c r="Y165" s="162" t="str">
        <f>B178</f>
        <v>Фасад, Рамочный узкий профиль</v>
      </c>
      <c r="Z165" s="166" t="e">
        <f>D178</f>
        <v>#N/A</v>
      </c>
      <c r="AA165" s="192">
        <f>ROUNDUP(F178/5400*1.1*AD165, 2)</f>
        <v>0</v>
      </c>
      <c r="AB165" s="162"/>
      <c r="AC165" s="162" t="str">
        <f>B166&amp;"мм-"&amp;B167&amp;"шт"</f>
        <v>0мм-0шт</v>
      </c>
      <c r="AD165" s="310">
        <f>B167</f>
        <v>0</v>
      </c>
      <c r="AE165" s="197" t="s">
        <v>240</v>
      </c>
    </row>
    <row r="166" spans="1:31" ht="15" hidden="1" customHeight="1" outlineLevel="1" x14ac:dyDescent="0.3">
      <c r="A166" s="5" t="s">
        <v>1</v>
      </c>
      <c r="B166" s="279">
        <f>INDEX($S$3:$S$12, B162)</f>
        <v>0</v>
      </c>
      <c r="D166" s="134"/>
      <c r="E166" s="124"/>
      <c r="F166" s="124"/>
      <c r="G166" s="124"/>
      <c r="X166" s="162">
        <v>3</v>
      </c>
      <c r="Y166" s="164" t="str">
        <f>B179</f>
        <v>Фасад, Рамочный узкий профиль</v>
      </c>
      <c r="Z166" s="193" t="e">
        <f>D179</f>
        <v>#N/A</v>
      </c>
      <c r="AA166" s="192">
        <f>ROUNDUP(F179/5400*1.1*AD166, 2)</f>
        <v>0</v>
      </c>
      <c r="AB166" s="164"/>
      <c r="AC166" s="162" t="str">
        <f>B165&amp;"мм-"&amp;B167&amp;"шт"</f>
        <v>0мм-0шт</v>
      </c>
      <c r="AD166" s="310">
        <f>B167</f>
        <v>0</v>
      </c>
      <c r="AE166" s="197" t="s">
        <v>240</v>
      </c>
    </row>
    <row r="167" spans="1:31" ht="15" hidden="1" customHeight="1" outlineLevel="1" x14ac:dyDescent="0.3">
      <c r="A167" s="39" t="s">
        <v>72</v>
      </c>
      <c r="B167" s="280">
        <f>INDEX($T$3:$T$12, B162)</f>
        <v>0</v>
      </c>
      <c r="C167" s="40"/>
      <c r="D167" s="40"/>
      <c r="E167" s="40"/>
      <c r="F167" s="271"/>
      <c r="G167" s="271"/>
      <c r="X167" s="162">
        <v>4</v>
      </c>
      <c r="Y167" s="164" t="str">
        <f>B180</f>
        <v>Фасад, Рамочный узкий профиль</v>
      </c>
      <c r="Z167" s="193" t="e">
        <f>D180</f>
        <v>#N/A</v>
      </c>
      <c r="AA167" s="192">
        <f>ROUNDUP(F180/5400*1.1*AD167, 2)</f>
        <v>0</v>
      </c>
      <c r="AB167" s="194"/>
      <c r="AC167" s="162" t="str">
        <f>B166&amp;"мм-"&amp;B167&amp;"шт"</f>
        <v>0мм-0шт</v>
      </c>
      <c r="AD167" s="310">
        <f>B167</f>
        <v>0</v>
      </c>
      <c r="AE167" s="197" t="s">
        <v>240</v>
      </c>
    </row>
    <row r="168" spans="1:31" ht="15" hidden="1" customHeight="1" outlineLevel="1" x14ac:dyDescent="0.3">
      <c r="A168" s="39" t="s">
        <v>360</v>
      </c>
      <c r="B168" s="269">
        <f>INDEX($M$3:$M$12, B162)</f>
        <v>0</v>
      </c>
      <c r="F168" s="124"/>
      <c r="G168" s="124"/>
      <c r="X168" s="162">
        <v>5</v>
      </c>
      <c r="Y168" s="164">
        <f>B168</f>
        <v>0</v>
      </c>
      <c r="Z168" s="164" t="str">
        <f>B169</f>
        <v>.</v>
      </c>
      <c r="AA168" s="309">
        <f>B167</f>
        <v>0</v>
      </c>
      <c r="AB168" s="164" t="str">
        <f>CONCATENATE("В ",B171,", ","Ш ",B172)</f>
        <v>В -6, Ш -6</v>
      </c>
      <c r="AC168" s="164"/>
      <c r="AD168" s="310">
        <f>B167</f>
        <v>0</v>
      </c>
      <c r="AE168" s="197" t="s">
        <v>278</v>
      </c>
    </row>
    <row r="169" spans="1:31" ht="15" hidden="1" customHeight="1" outlineLevel="1" x14ac:dyDescent="0.3">
      <c r="A169" s="39" t="s">
        <v>381</v>
      </c>
      <c r="B169" s="269" t="str">
        <f>IFERROR(INDEX($N$3:$N$12, B162),0)</f>
        <v>.</v>
      </c>
      <c r="F169" s="124"/>
      <c r="G169" s="124"/>
      <c r="X169" s="162">
        <v>6</v>
      </c>
      <c r="Y169" s="164" t="s">
        <v>242</v>
      </c>
      <c r="Z169" s="167" t="s">
        <v>243</v>
      </c>
      <c r="AA169" s="164">
        <f>IF(B165&gt;550,2*AD169,1*AD169)</f>
        <v>0</v>
      </c>
      <c r="AB169" s="164"/>
      <c r="AC169" s="164"/>
      <c r="AD169" s="310">
        <f>B167</f>
        <v>0</v>
      </c>
      <c r="AE169" s="197" t="s">
        <v>240</v>
      </c>
    </row>
    <row r="170" spans="1:31" ht="15" hidden="1" customHeight="1" outlineLevel="1" x14ac:dyDescent="0.3">
      <c r="A170" s="39" t="s">
        <v>398</v>
      </c>
      <c r="B170" s="281">
        <f>IFERROR(IF(B169=".", 0, VLOOKUP(B169, Ред!$B:$F, 4, 0)),0)</f>
        <v>0</v>
      </c>
      <c r="F170" s="124"/>
      <c r="G170" s="124"/>
      <c r="H170" s="124"/>
      <c r="X170" s="162">
        <v>7</v>
      </c>
      <c r="Y170" s="164" t="s">
        <v>244</v>
      </c>
      <c r="Z170" s="167" t="s">
        <v>245</v>
      </c>
      <c r="AA170" s="164">
        <f>(B165+B166)*2/1000*AD170</f>
        <v>0</v>
      </c>
      <c r="AB170" s="164"/>
      <c r="AC170" s="164"/>
      <c r="AD170" s="310">
        <f>B167</f>
        <v>0</v>
      </c>
      <c r="AE170" s="197" t="s">
        <v>240</v>
      </c>
    </row>
    <row r="171" spans="1:31" s="40" customFormat="1" ht="15" hidden="1" customHeight="1" outlineLevel="1" x14ac:dyDescent="0.3">
      <c r="A171" s="39" t="s">
        <v>399</v>
      </c>
      <c r="B171" s="282">
        <f>B165-6</f>
        <v>-6</v>
      </c>
      <c r="C171" s="39"/>
      <c r="D171" s="39"/>
      <c r="E171" s="39"/>
      <c r="F171" s="124"/>
      <c r="G171" s="124"/>
      <c r="X171" s="162">
        <v>8</v>
      </c>
      <c r="Y171" s="165" t="s">
        <v>246</v>
      </c>
      <c r="Z171" s="167" t="s">
        <v>247</v>
      </c>
      <c r="AA171" s="164">
        <f>0.02*AD171</f>
        <v>0</v>
      </c>
      <c r="AB171" s="164"/>
      <c r="AC171" s="164"/>
      <c r="AD171" s="310">
        <f>B167</f>
        <v>0</v>
      </c>
      <c r="AE171" s="197" t="s">
        <v>240</v>
      </c>
    </row>
    <row r="172" spans="1:31" ht="15" hidden="1" customHeight="1" outlineLevel="1" x14ac:dyDescent="0.3">
      <c r="A172" s="39" t="s">
        <v>400</v>
      </c>
      <c r="B172" s="282">
        <f>B166-6</f>
        <v>-6</v>
      </c>
      <c r="C172" s="5"/>
      <c r="D172" s="124"/>
      <c r="E172" s="124"/>
      <c r="F172" s="124"/>
      <c r="G172" s="124"/>
      <c r="H172" s="124"/>
      <c r="X172" s="162">
        <v>9</v>
      </c>
      <c r="Y172" s="164" t="s">
        <v>475</v>
      </c>
      <c r="Z172" s="167" t="s">
        <v>474</v>
      </c>
      <c r="AA172" s="193">
        <f>(((B166*2)/1000)+0.5)/66*B167</f>
        <v>0</v>
      </c>
      <c r="AB172" s="164"/>
      <c r="AC172" s="164"/>
      <c r="AD172" s="310">
        <f>B167</f>
        <v>0</v>
      </c>
      <c r="AE172" s="197" t="s">
        <v>240</v>
      </c>
    </row>
    <row r="173" spans="1:31" ht="15" hidden="1" customHeight="1" outlineLevel="1" x14ac:dyDescent="0.3">
      <c r="A173" s="39" t="s">
        <v>401</v>
      </c>
      <c r="B173" s="283">
        <f>B171*B172/1000000</f>
        <v>3.6000000000000001E-5</v>
      </c>
      <c r="C173" s="5"/>
      <c r="D173" s="124"/>
      <c r="E173" s="124"/>
      <c r="F173" s="124"/>
      <c r="G173" s="124"/>
      <c r="H173" s="124"/>
      <c r="X173" s="162">
        <v>10</v>
      </c>
      <c r="Y173" s="164" t="s">
        <v>248</v>
      </c>
      <c r="Z173" s="167" t="s">
        <v>249</v>
      </c>
      <c r="AA173" s="193">
        <f>((B166*8/1000)+0.5)/45*B167</f>
        <v>0</v>
      </c>
      <c r="AB173" s="164"/>
      <c r="AC173" s="164"/>
      <c r="AD173" s="310">
        <f>B167</f>
        <v>0</v>
      </c>
      <c r="AE173" s="197" t="s">
        <v>240</v>
      </c>
    </row>
    <row r="174" spans="1:31" ht="15" hidden="1" customHeight="1" outlineLevel="1" x14ac:dyDescent="0.3">
      <c r="A174" s="145" t="s">
        <v>402</v>
      </c>
      <c r="B174" s="284">
        <f>B170*B173*B167</f>
        <v>0</v>
      </c>
      <c r="H174" s="124"/>
      <c r="X174" s="188">
        <v>11</v>
      </c>
      <c r="Y174" s="189" t="s">
        <v>250</v>
      </c>
      <c r="Z174" s="190" t="s">
        <v>251</v>
      </c>
      <c r="AA174" s="189">
        <f>((B166*4/1000)+1)</f>
        <v>1</v>
      </c>
      <c r="AB174" s="189"/>
      <c r="AC174" s="189"/>
      <c r="AD174" s="311">
        <f>B167</f>
        <v>0</v>
      </c>
      <c r="AE174" s="197" t="s">
        <v>240</v>
      </c>
    </row>
    <row r="175" spans="1:31" ht="15" hidden="1" customHeight="1" outlineLevel="1" x14ac:dyDescent="0.3">
      <c r="A175" s="39" t="s">
        <v>576</v>
      </c>
      <c r="B175" s="356">
        <f>IFERROR(IF(D175,(B171+B172)/1000*2*F175*B167,0),0)</f>
        <v>0</v>
      </c>
      <c r="C175" s="39" t="s">
        <v>574</v>
      </c>
      <c r="D175" s="39">
        <f>IFERROR(INDEX(Вставки[Обработка],MATCH(B169,Вставки[арт],0)) = 1,0)</f>
        <v>0</v>
      </c>
      <c r="E175" s="39" t="s">
        <v>6</v>
      </c>
      <c r="F175" s="356">
        <f>Ред!$E$33</f>
        <v>520.27052307692293</v>
      </c>
      <c r="H175" s="124"/>
      <c r="X175" s="189">
        <v>12</v>
      </c>
      <c r="Y175" s="189" t="s">
        <v>279</v>
      </c>
      <c r="Z175" s="167" t="s">
        <v>280</v>
      </c>
      <c r="AA175" s="189">
        <v>1</v>
      </c>
      <c r="AB175" s="164"/>
      <c r="AC175" s="189"/>
      <c r="AD175" s="310">
        <v>1</v>
      </c>
      <c r="AE175" s="256" t="s">
        <v>240</v>
      </c>
    </row>
    <row r="176" spans="1:31" ht="15" hidden="1" customHeight="1" outlineLevel="1" x14ac:dyDescent="0.3">
      <c r="A176" s="5"/>
      <c r="B176" s="288" t="s">
        <v>15</v>
      </c>
      <c r="C176" s="289" t="s">
        <v>371</v>
      </c>
      <c r="D176" s="290" t="s">
        <v>5</v>
      </c>
      <c r="E176" s="290" t="s">
        <v>3</v>
      </c>
      <c r="F176" s="291" t="s">
        <v>380</v>
      </c>
      <c r="G176" s="291" t="s">
        <v>7</v>
      </c>
      <c r="H176" s="124"/>
      <c r="X176" s="162">
        <v>13</v>
      </c>
      <c r="Y176" s="49" t="e">
        <f>INDEX(Ред!$A:$A,MATCH(Z176,Ред!B:B,0))</f>
        <v>#N/A</v>
      </c>
      <c r="Z176" s="386">
        <f>B185</f>
        <v>0</v>
      </c>
      <c r="AA176" s="50">
        <f>D185</f>
        <v>0</v>
      </c>
      <c r="AB176" s="164"/>
      <c r="AC176" s="164"/>
      <c r="AD176" s="310">
        <f>AA176</f>
        <v>0</v>
      </c>
      <c r="AE176" s="164" t="s">
        <v>241</v>
      </c>
    </row>
    <row r="177" spans="1:31" ht="15" hidden="1" customHeight="1" outlineLevel="1" x14ac:dyDescent="0.3">
      <c r="A177" s="292" t="s">
        <v>104</v>
      </c>
      <c r="B177" s="49" t="str">
        <f>INDEX(ПрофилиMAXАрт[полноенаим],MATCH(B163&amp;C177,ПрофилиMAXАрт[поиск],0))</f>
        <v>Фасад, Рамочный узкий профиль</v>
      </c>
      <c r="C177" s="21" t="str">
        <f>IF(A177=INDEX($P$3:$P$12, B162), "Да", "Нет")</f>
        <v>Нет</v>
      </c>
      <c r="D177" s="48" t="e">
        <f>INDEX(ПрофилиMAXАрт[], MATCH(B177, ПрофилиMAXАрт[полноенаим], 0), MATCH(B164, ПрофилиMAXАрт[#Headers], 0))</f>
        <v>#N/A</v>
      </c>
      <c r="E177" s="293" t="e">
        <f>VLOOKUP(D177, Ред!$B:$F, 4, 0)</f>
        <v>#N/A</v>
      </c>
      <c r="F177" s="48">
        <f>B165+IF(C177="Да", 200, 100)</f>
        <v>100</v>
      </c>
      <c r="G177" s="293" t="e">
        <f>E177/5400*F177*B167</f>
        <v>#N/A</v>
      </c>
      <c r="H177" s="124"/>
      <c r="X177" s="164">
        <v>14</v>
      </c>
      <c r="Y177" s="164" t="e">
        <f>INDEX(Ред!$A:$A,MATCH(Z177,Ред!B:B,0))</f>
        <v>#N/A</v>
      </c>
      <c r="Z177" s="386">
        <f>B186</f>
        <v>0</v>
      </c>
      <c r="AA177" s="164">
        <f>ROUNDUP(D186/2.6,1)</f>
        <v>0</v>
      </c>
      <c r="AB177" s="164"/>
      <c r="AC177" s="164"/>
      <c r="AD177" s="310">
        <f>B167</f>
        <v>0</v>
      </c>
      <c r="AE177" s="164" t="s">
        <v>240</v>
      </c>
    </row>
    <row r="178" spans="1:31" ht="15" hidden="1" customHeight="1" outlineLevel="1" x14ac:dyDescent="0.3">
      <c r="A178" s="292" t="s">
        <v>210</v>
      </c>
      <c r="B178" s="49" t="str">
        <f>INDEX(ПрофилиMAXАрт[полноенаим],MATCH(B163&amp;C178,ПрофилиMAXАрт[поиск],0))</f>
        <v>Фасад, Рамочный узкий профиль</v>
      </c>
      <c r="C178" s="21" t="str">
        <f>IF(A178=INDEX($P$3:$P$12, B162), "Да", "Нет")</f>
        <v>Нет</v>
      </c>
      <c r="D178" s="48" t="e">
        <f>INDEX(ПрофилиMAXАрт[], MATCH(B178, ПрофилиMAXАрт[полноенаим], 0), MATCH(B164, ПрофилиMAXАрт[#Headers], 0))</f>
        <v>#N/A</v>
      </c>
      <c r="E178" s="293" t="e">
        <f>VLOOKUP(D178, Ред!$B:$F, 4, 0)</f>
        <v>#N/A</v>
      </c>
      <c r="F178" s="48">
        <f>B166+IF(C178="Да", 200, 100)</f>
        <v>100</v>
      </c>
      <c r="G178" s="293" t="e">
        <f>E178/5400*F178*B167</f>
        <v>#N/A</v>
      </c>
      <c r="H178" s="124"/>
      <c r="X178" s="164">
        <v>15</v>
      </c>
      <c r="Y178" s="164" t="e">
        <f>INDEX(Ред!$A:$A,MATCH(Z178,Ред!B:B,0))</f>
        <v>#N/A</v>
      </c>
      <c r="Z178" s="386">
        <f>B184</f>
        <v>0</v>
      </c>
      <c r="AA178" s="309">
        <f>D184</f>
        <v>0</v>
      </c>
      <c r="AB178" s="164"/>
      <c r="AC178" s="164"/>
      <c r="AD178" s="310">
        <f>B167</f>
        <v>0</v>
      </c>
      <c r="AE178" s="164" t="s">
        <v>241</v>
      </c>
    </row>
    <row r="179" spans="1:31" ht="15" hidden="1" customHeight="1" outlineLevel="1" x14ac:dyDescent="0.3">
      <c r="A179" s="292" t="s">
        <v>230</v>
      </c>
      <c r="B179" s="49" t="str">
        <f>INDEX(ПрофилиMAXАрт[полноенаим],MATCH(B163&amp;C179,ПрофилиMAXАрт[поиск],0))</f>
        <v>Фасад, Рамочный узкий профиль</v>
      </c>
      <c r="C179" s="21" t="str">
        <f>IF(A179=INDEX($P$3:$P$12, B162), "Да", "Нет")</f>
        <v>Нет</v>
      </c>
      <c r="D179" s="48" t="e">
        <f>INDEX(ПрофилиMAXАрт[], MATCH(B179, ПрофилиMAXАрт[полноенаим], 0), MATCH(B164, ПрофилиMAXАрт[#Headers], 0))</f>
        <v>#N/A</v>
      </c>
      <c r="E179" s="293" t="e">
        <f>VLOOKUP(D179, Ред!$B:$F, 4, 0)</f>
        <v>#N/A</v>
      </c>
      <c r="F179" s="48">
        <f>B165+IF(C179="Да", 200, 100)</f>
        <v>100</v>
      </c>
      <c r="G179" s="293" t="e">
        <f>E179/5400*F179*B167</f>
        <v>#N/A</v>
      </c>
      <c r="H179" s="124"/>
    </row>
    <row r="180" spans="1:31" ht="15" hidden="1" customHeight="1" outlineLevel="1" x14ac:dyDescent="0.3">
      <c r="A180" s="292" t="s">
        <v>211</v>
      </c>
      <c r="B180" s="49" t="str">
        <f>INDEX(ПрофилиMAXАрт[полноенаим],MATCH(B163&amp;C180,ПрофилиMAXАрт[поиск],0))</f>
        <v>Фасад, Рамочный узкий профиль</v>
      </c>
      <c r="C180" s="21" t="str">
        <f>IF(A180=INDEX($P$3:$P$12, B162), "Да", "Нет")</f>
        <v>Нет</v>
      </c>
      <c r="D180" s="48" t="e">
        <f>INDEX(ПрофилиMAXАрт[], MATCH(B180, ПрофилиMAXАрт[полноенаим], 0), MATCH(B164, ПрофилиMAXАрт[#Headers], 0))</f>
        <v>#N/A</v>
      </c>
      <c r="E180" s="293" t="e">
        <f>VLOOKUP(D180, Ред!$B:$F, 4, 0)</f>
        <v>#N/A</v>
      </c>
      <c r="F180" s="48">
        <f>B166+IF(C180="Да", 200, 100)</f>
        <v>100</v>
      </c>
      <c r="G180" s="293" t="e">
        <f>E180/5400*F180*B167</f>
        <v>#N/A</v>
      </c>
      <c r="H180" s="124"/>
    </row>
    <row r="181" spans="1:31" ht="15" hidden="1" customHeight="1" outlineLevel="1" x14ac:dyDescent="0.3">
      <c r="H181" s="124"/>
    </row>
    <row r="182" spans="1:31" ht="15" hidden="1" customHeight="1" outlineLevel="1" thickBot="1" x14ac:dyDescent="0.35">
      <c r="A182" s="297" t="s">
        <v>676</v>
      </c>
      <c r="B182" s="298" t="s">
        <v>389</v>
      </c>
      <c r="C182" s="299">
        <f>INDEX($Q$3:$Q$12, B162)</f>
        <v>0</v>
      </c>
      <c r="H182" s="124"/>
    </row>
    <row r="183" spans="1:31" ht="15" hidden="1" customHeight="1" outlineLevel="1" x14ac:dyDescent="0.3">
      <c r="B183" s="296" t="s">
        <v>390</v>
      </c>
      <c r="C183" s="19" t="s">
        <v>6</v>
      </c>
      <c r="D183" s="48" t="s">
        <v>379</v>
      </c>
      <c r="E183" s="48" t="s">
        <v>270</v>
      </c>
      <c r="F183" s="124"/>
      <c r="G183" s="124"/>
      <c r="H183" s="124"/>
    </row>
    <row r="184" spans="1:31" ht="15" hidden="1" customHeight="1" outlineLevel="1" x14ac:dyDescent="0.3">
      <c r="A184" s="294" t="s">
        <v>382</v>
      </c>
      <c r="B184" s="295">
        <f>IFERROR(INDEX(ФурнитураMAX[Петли], MATCH(C182,ФурнитураMAX[Цвет петель], 0)),0)</f>
        <v>0</v>
      </c>
      <c r="C184" s="293">
        <f>IFERROR(VLOOKUP(B184, Ред!$B:$F, 4, 0),0)</f>
        <v>0</v>
      </c>
      <c r="D184" s="50">
        <f>IF(INDEX($U$3:$U$12, B162)=0, 0, B167)</f>
        <v>0</v>
      </c>
      <c r="E184" s="48">
        <f>C184*D184</f>
        <v>0</v>
      </c>
      <c r="F184" s="124"/>
      <c r="G184" s="124"/>
      <c r="H184" s="124"/>
    </row>
    <row r="185" spans="1:31" ht="15" hidden="1" customHeight="1" outlineLevel="1" x14ac:dyDescent="0.3">
      <c r="A185" s="294" t="s">
        <v>383</v>
      </c>
      <c r="B185" s="295">
        <f>IFERROR(INDEX(ФурнитураMAX[Уголок], MATCH(C182,ФурнитураMAX[Цвет петель], 0)),0)</f>
        <v>0</v>
      </c>
      <c r="C185" s="293">
        <f>IFERROR(IF(B185="Нет", 0, VLOOKUP(B185, Ред!$B:$F, 4, 0)),0)</f>
        <v>0</v>
      </c>
      <c r="D185" s="50">
        <f>B167</f>
        <v>0</v>
      </c>
      <c r="E185" s="48">
        <f>C185*D185</f>
        <v>0</v>
      </c>
      <c r="H185" s="124"/>
    </row>
    <row r="186" spans="1:31" ht="15" hidden="1" customHeight="1" outlineLevel="1" x14ac:dyDescent="0.3">
      <c r="A186" s="294" t="s">
        <v>384</v>
      </c>
      <c r="B186" s="295">
        <f>IFERROR(INDEX(ФурнитураMAX[Уплотнитель], MATCH(C182,ФурнитураMAX[Цвет петель], 0)),0)</f>
        <v>0</v>
      </c>
      <c r="C186" s="293">
        <f>IFERROR(VLOOKUP(B186, Ред!$B:$F, 4, 0)/3,0)</f>
        <v>0</v>
      </c>
      <c r="D186" s="49">
        <f>CEILING((B165+B166)*2*B167/1000,1)</f>
        <v>0</v>
      </c>
      <c r="E186" s="48">
        <f>C186*D186</f>
        <v>0</v>
      </c>
      <c r="H186" s="124"/>
    </row>
    <row r="187" spans="1:31" ht="15" hidden="1" customHeight="1" outlineLevel="1" x14ac:dyDescent="0.3">
      <c r="A187" s="70" t="s">
        <v>97</v>
      </c>
      <c r="B187" s="300"/>
      <c r="C187" s="71"/>
      <c r="D187" s="301"/>
      <c r="E187" s="71">
        <v>413</v>
      </c>
      <c r="F187" s="124"/>
      <c r="G187" s="124"/>
      <c r="H187" s="124"/>
    </row>
    <row r="188" spans="1:31" ht="15" hidden="1" customHeight="1" outlineLevel="1" x14ac:dyDescent="0.3">
      <c r="A188" s="70" t="s">
        <v>98</v>
      </c>
      <c r="B188" s="71"/>
      <c r="C188" s="71"/>
      <c r="D188" s="71"/>
      <c r="E188" s="71">
        <v>413</v>
      </c>
      <c r="H188" s="124"/>
    </row>
    <row r="189" spans="1:31" ht="15" hidden="1" customHeight="1" outlineLevel="1" x14ac:dyDescent="0.3"/>
    <row r="190" spans="1:31" ht="15" hidden="1" customHeight="1" outlineLevel="1" thickBot="1" x14ac:dyDescent="0.35">
      <c r="A190" s="302" t="s">
        <v>395</v>
      </c>
      <c r="B190" s="285" t="e">
        <f>SUM(B174, B175, G177:G180, E184:E188)</f>
        <v>#N/A</v>
      </c>
      <c r="C190" s="385" t="e">
        <f>SUM(B174:B175, G177:G180, E186:E188)</f>
        <v>#N/A</v>
      </c>
      <c r="F190" s="278"/>
    </row>
    <row r="191" spans="1:31" ht="15" hidden="1" customHeight="1" outlineLevel="1" thickTop="1" x14ac:dyDescent="0.3">
      <c r="A191" s="145"/>
      <c r="B191" s="134"/>
      <c r="D191" s="124"/>
      <c r="E191" s="124"/>
      <c r="F191" s="124"/>
      <c r="G191" s="124"/>
      <c r="H191" s="124"/>
    </row>
    <row r="192" spans="1:31" ht="15.6" hidden="1" outlineLevel="1" x14ac:dyDescent="0.3">
      <c r="A192" s="145"/>
      <c r="B192" s="134"/>
      <c r="C192" s="5"/>
    </row>
    <row r="193" spans="1:31" ht="16.2" hidden="1" outlineLevel="1" thickBot="1" x14ac:dyDescent="0.35">
      <c r="A193" s="145"/>
      <c r="B193" s="134"/>
      <c r="C193" s="5"/>
      <c r="X193" s="661" t="s">
        <v>256</v>
      </c>
      <c r="Y193" s="661"/>
      <c r="Z193" s="661"/>
      <c r="AA193" s="661"/>
      <c r="AB193" s="661"/>
      <c r="AC193" s="661"/>
      <c r="AD193" s="661"/>
      <c r="AE193" s="661"/>
    </row>
    <row r="194" spans="1:31" ht="15" customHeight="1" collapsed="1" thickTop="1" thickBot="1" x14ac:dyDescent="0.45">
      <c r="A194" s="286" t="s">
        <v>396</v>
      </c>
      <c r="B194" s="287">
        <v>7</v>
      </c>
      <c r="X194" s="147" t="s">
        <v>115</v>
      </c>
      <c r="Y194" s="147" t="s">
        <v>232</v>
      </c>
      <c r="Z194" s="147" t="s">
        <v>233</v>
      </c>
      <c r="AA194" s="163" t="s">
        <v>149</v>
      </c>
      <c r="AB194" s="147" t="s">
        <v>234</v>
      </c>
      <c r="AC194" s="147" t="s">
        <v>235</v>
      </c>
      <c r="AD194" s="148" t="s">
        <v>236</v>
      </c>
      <c r="AE194" s="147" t="s">
        <v>237</v>
      </c>
    </row>
    <row r="195" spans="1:31" ht="15" hidden="1" customHeight="1" outlineLevel="1" thickTop="1" x14ac:dyDescent="0.3">
      <c r="A195" s="134" t="s">
        <v>358</v>
      </c>
      <c r="B195" s="279" t="s">
        <v>365</v>
      </c>
      <c r="C195" s="5"/>
      <c r="X195" s="161"/>
      <c r="Y195" s="191" t="s">
        <v>15</v>
      </c>
      <c r="Z195" s="191" t="s">
        <v>5</v>
      </c>
      <c r="AA195" s="191" t="s">
        <v>238</v>
      </c>
      <c r="AB195" s="191" t="s">
        <v>239</v>
      </c>
      <c r="AC195" s="195" t="s">
        <v>16</v>
      </c>
      <c r="AD195" s="196" t="s">
        <v>8</v>
      </c>
      <c r="AE195" s="191"/>
    </row>
    <row r="196" spans="1:31" ht="15" hidden="1" customHeight="1" outlineLevel="1" x14ac:dyDescent="0.3">
      <c r="A196" s="5" t="s">
        <v>376</v>
      </c>
      <c r="B196" s="279" t="e">
        <f>INDEX($L$3:$L$12, B194)</f>
        <v>#N/A</v>
      </c>
      <c r="C196" s="5"/>
      <c r="X196" s="162">
        <v>1</v>
      </c>
      <c r="Y196" s="162" t="str">
        <f>B209</f>
        <v>Фасад, Рамочный узкий профиль</v>
      </c>
      <c r="Z196" s="166" t="e">
        <f>D209</f>
        <v>#N/A</v>
      </c>
      <c r="AA196" s="192">
        <f>ROUNDUP(F209/5400*1.1*AD196, 2)</f>
        <v>0</v>
      </c>
      <c r="AB196" s="194"/>
      <c r="AC196" s="162" t="str">
        <f>B197&amp;"мм-"&amp;B199&amp;"шт"</f>
        <v>0мм-0шт</v>
      </c>
      <c r="AD196" s="310">
        <f>B199</f>
        <v>0</v>
      </c>
      <c r="AE196" s="197" t="s">
        <v>240</v>
      </c>
    </row>
    <row r="197" spans="1:31" ht="15" hidden="1" customHeight="1" outlineLevel="1" x14ac:dyDescent="0.3">
      <c r="A197" s="5" t="s">
        <v>4</v>
      </c>
      <c r="B197" s="279">
        <f>INDEX($R$3:$R$12, B194)</f>
        <v>0</v>
      </c>
      <c r="C197" s="5"/>
      <c r="X197" s="162">
        <v>2</v>
      </c>
      <c r="Y197" s="162" t="str">
        <f>B210</f>
        <v>Фасад, Рамочный узкий профиль</v>
      </c>
      <c r="Z197" s="166" t="e">
        <f>D210</f>
        <v>#N/A</v>
      </c>
      <c r="AA197" s="192">
        <f>ROUNDUP(F210/5400*1.1*AD197, 2)</f>
        <v>0</v>
      </c>
      <c r="AB197" s="162"/>
      <c r="AC197" s="162" t="str">
        <f>B198&amp;"мм-"&amp;B199&amp;"шт"</f>
        <v>0мм-0шт</v>
      </c>
      <c r="AD197" s="310">
        <f>B199</f>
        <v>0</v>
      </c>
      <c r="AE197" s="197" t="s">
        <v>240</v>
      </c>
    </row>
    <row r="198" spans="1:31" ht="15" hidden="1" customHeight="1" outlineLevel="1" x14ac:dyDescent="0.3">
      <c r="A198" s="5" t="s">
        <v>1</v>
      </c>
      <c r="B198" s="279">
        <f>INDEX($S$3:$S$12, B194)</f>
        <v>0</v>
      </c>
      <c r="D198" s="134"/>
      <c r="E198" s="124"/>
      <c r="F198" s="124"/>
      <c r="G198" s="124"/>
      <c r="X198" s="162">
        <v>3</v>
      </c>
      <c r="Y198" s="164" t="str">
        <f>B211</f>
        <v>Фасад, Рамочный узкий профиль</v>
      </c>
      <c r="Z198" s="193" t="e">
        <f>D211</f>
        <v>#N/A</v>
      </c>
      <c r="AA198" s="192">
        <f>ROUNDUP(F211/5400*1.1*AD198, 2)</f>
        <v>0</v>
      </c>
      <c r="AB198" s="164"/>
      <c r="AC198" s="162" t="str">
        <f>B197&amp;"мм-"&amp;B199&amp;"шт"</f>
        <v>0мм-0шт</v>
      </c>
      <c r="AD198" s="310">
        <f>B199</f>
        <v>0</v>
      </c>
      <c r="AE198" s="197" t="s">
        <v>240</v>
      </c>
    </row>
    <row r="199" spans="1:31" ht="15" hidden="1" customHeight="1" outlineLevel="1" x14ac:dyDescent="0.3">
      <c r="A199" s="39" t="s">
        <v>72</v>
      </c>
      <c r="B199" s="280">
        <f>INDEX($T$3:$T$12, B194)</f>
        <v>0</v>
      </c>
      <c r="C199" s="40"/>
      <c r="D199" s="40"/>
      <c r="E199" s="40"/>
      <c r="F199" s="271"/>
      <c r="G199" s="271"/>
      <c r="X199" s="162">
        <v>4</v>
      </c>
      <c r="Y199" s="164" t="str">
        <f>B212</f>
        <v>Фасад, Рамочный узкий профиль</v>
      </c>
      <c r="Z199" s="193" t="e">
        <f>D212</f>
        <v>#N/A</v>
      </c>
      <c r="AA199" s="192">
        <f>ROUNDUP(F212/5400*1.1*AD199, 2)</f>
        <v>0</v>
      </c>
      <c r="AB199" s="194"/>
      <c r="AC199" s="162" t="str">
        <f>B198&amp;"мм-"&amp;B199&amp;"шт"</f>
        <v>0мм-0шт</v>
      </c>
      <c r="AD199" s="310">
        <f>B199</f>
        <v>0</v>
      </c>
      <c r="AE199" s="197" t="s">
        <v>240</v>
      </c>
    </row>
    <row r="200" spans="1:31" ht="15" hidden="1" customHeight="1" outlineLevel="1" x14ac:dyDescent="0.3">
      <c r="A200" s="39" t="s">
        <v>360</v>
      </c>
      <c r="B200" s="269">
        <f>INDEX($M$3:$M$12, B194)</f>
        <v>0</v>
      </c>
      <c r="F200" s="124"/>
      <c r="G200" s="124"/>
      <c r="X200" s="162">
        <v>5</v>
      </c>
      <c r="Y200" s="164">
        <f>B200</f>
        <v>0</v>
      </c>
      <c r="Z200" s="164" t="str">
        <f>B201</f>
        <v>.</v>
      </c>
      <c r="AA200" s="309">
        <f>B199</f>
        <v>0</v>
      </c>
      <c r="AB200" s="164" t="str">
        <f>CONCATENATE("В ",B203,", ","Ш ",B204)</f>
        <v>В -6, Ш -6</v>
      </c>
      <c r="AC200" s="164"/>
      <c r="AD200" s="310">
        <f>B199</f>
        <v>0</v>
      </c>
      <c r="AE200" s="197" t="s">
        <v>278</v>
      </c>
    </row>
    <row r="201" spans="1:31" ht="15" hidden="1" customHeight="1" outlineLevel="1" x14ac:dyDescent="0.3">
      <c r="A201" s="39" t="s">
        <v>381</v>
      </c>
      <c r="B201" s="269" t="str">
        <f>IFERROR(INDEX($N$3:$N$12, B194),0)</f>
        <v>.</v>
      </c>
      <c r="F201" s="124"/>
      <c r="G201" s="124"/>
      <c r="X201" s="162">
        <v>6</v>
      </c>
      <c r="Y201" s="164" t="s">
        <v>242</v>
      </c>
      <c r="Z201" s="167" t="s">
        <v>243</v>
      </c>
      <c r="AA201" s="164">
        <f>IF(B197&gt;550,2*AD201,1*AD201)</f>
        <v>0</v>
      </c>
      <c r="AB201" s="164"/>
      <c r="AC201" s="164"/>
      <c r="AD201" s="310">
        <f>B199</f>
        <v>0</v>
      </c>
      <c r="AE201" s="197" t="s">
        <v>240</v>
      </c>
    </row>
    <row r="202" spans="1:31" ht="15" hidden="1" customHeight="1" outlineLevel="1" x14ac:dyDescent="0.3">
      <c r="A202" s="39" t="s">
        <v>398</v>
      </c>
      <c r="B202" s="281">
        <f>IFERROR(IF(B201=".", 0, VLOOKUP(B201, Ред!$B:$F, 4, 0)),0)</f>
        <v>0</v>
      </c>
      <c r="F202" s="124"/>
      <c r="G202" s="124"/>
      <c r="H202" s="124"/>
      <c r="X202" s="162">
        <v>7</v>
      </c>
      <c r="Y202" s="164" t="s">
        <v>244</v>
      </c>
      <c r="Z202" s="167" t="s">
        <v>245</v>
      </c>
      <c r="AA202" s="164">
        <f>(B197+B198)*2/1000*AD202</f>
        <v>0</v>
      </c>
      <c r="AB202" s="164"/>
      <c r="AC202" s="164"/>
      <c r="AD202" s="310">
        <f>B199</f>
        <v>0</v>
      </c>
      <c r="AE202" s="197" t="s">
        <v>240</v>
      </c>
    </row>
    <row r="203" spans="1:31" s="40" customFormat="1" ht="15" hidden="1" customHeight="1" outlineLevel="1" x14ac:dyDescent="0.3">
      <c r="A203" s="39" t="s">
        <v>399</v>
      </c>
      <c r="B203" s="282">
        <f>B197-6</f>
        <v>-6</v>
      </c>
      <c r="C203" s="39"/>
      <c r="D203" s="39"/>
      <c r="E203" s="39"/>
      <c r="F203" s="124"/>
      <c r="G203" s="124"/>
      <c r="X203" s="162">
        <v>8</v>
      </c>
      <c r="Y203" s="165" t="s">
        <v>246</v>
      </c>
      <c r="Z203" s="167" t="s">
        <v>247</v>
      </c>
      <c r="AA203" s="164">
        <f>0.02*AD203</f>
        <v>0</v>
      </c>
      <c r="AB203" s="164"/>
      <c r="AC203" s="164"/>
      <c r="AD203" s="310">
        <f>B199</f>
        <v>0</v>
      </c>
      <c r="AE203" s="197" t="s">
        <v>240</v>
      </c>
    </row>
    <row r="204" spans="1:31" ht="15" hidden="1" customHeight="1" outlineLevel="1" x14ac:dyDescent="0.3">
      <c r="A204" s="39" t="s">
        <v>400</v>
      </c>
      <c r="B204" s="282">
        <f>B198-6</f>
        <v>-6</v>
      </c>
      <c r="C204" s="5"/>
      <c r="D204" s="124"/>
      <c r="E204" s="124"/>
      <c r="F204" s="124"/>
      <c r="G204" s="124"/>
      <c r="H204" s="124"/>
      <c r="X204" s="162">
        <v>9</v>
      </c>
      <c r="Y204" s="164" t="s">
        <v>475</v>
      </c>
      <c r="Z204" s="167" t="s">
        <v>474</v>
      </c>
      <c r="AA204" s="193">
        <f>(((B198*2)/1000)+0.5)/66*B199</f>
        <v>0</v>
      </c>
      <c r="AB204" s="164"/>
      <c r="AC204" s="164"/>
      <c r="AD204" s="310">
        <f>B199</f>
        <v>0</v>
      </c>
      <c r="AE204" s="197" t="s">
        <v>240</v>
      </c>
    </row>
    <row r="205" spans="1:31" ht="15" hidden="1" customHeight="1" outlineLevel="1" x14ac:dyDescent="0.3">
      <c r="A205" s="39" t="s">
        <v>401</v>
      </c>
      <c r="B205" s="283">
        <f>B203*B204/1000000</f>
        <v>3.6000000000000001E-5</v>
      </c>
      <c r="C205" s="5"/>
      <c r="D205" s="124"/>
      <c r="E205" s="124"/>
      <c r="F205" s="124"/>
      <c r="G205" s="124"/>
      <c r="H205" s="124"/>
      <c r="X205" s="162">
        <v>10</v>
      </c>
      <c r="Y205" s="164" t="s">
        <v>248</v>
      </c>
      <c r="Z205" s="167" t="s">
        <v>249</v>
      </c>
      <c r="AA205" s="193">
        <f>((B198*8/1000)+0.5)/45*B199</f>
        <v>0</v>
      </c>
      <c r="AB205" s="164"/>
      <c r="AC205" s="164"/>
      <c r="AD205" s="310">
        <f>B199</f>
        <v>0</v>
      </c>
      <c r="AE205" s="197" t="s">
        <v>240</v>
      </c>
    </row>
    <row r="206" spans="1:31" ht="15" hidden="1" customHeight="1" outlineLevel="1" x14ac:dyDescent="0.3">
      <c r="A206" s="145" t="s">
        <v>402</v>
      </c>
      <c r="B206" s="284">
        <f>B202*B205*B199</f>
        <v>0</v>
      </c>
      <c r="H206" s="124"/>
      <c r="X206" s="188">
        <v>11</v>
      </c>
      <c r="Y206" s="189" t="s">
        <v>250</v>
      </c>
      <c r="Z206" s="190" t="s">
        <v>251</v>
      </c>
      <c r="AA206" s="189">
        <f>((B198*4/1000)+1)</f>
        <v>1</v>
      </c>
      <c r="AB206" s="189"/>
      <c r="AC206" s="189"/>
      <c r="AD206" s="311">
        <f>B199</f>
        <v>0</v>
      </c>
      <c r="AE206" s="197" t="s">
        <v>240</v>
      </c>
    </row>
    <row r="207" spans="1:31" ht="15" hidden="1" customHeight="1" outlineLevel="1" x14ac:dyDescent="0.3">
      <c r="A207" s="39" t="s">
        <v>576</v>
      </c>
      <c r="B207" s="356">
        <f>IFERROR(IF(D207,(B203+B204)/1000*2*F207*B199,0),0)</f>
        <v>0</v>
      </c>
      <c r="C207" s="39" t="s">
        <v>574</v>
      </c>
      <c r="D207" s="39">
        <f>IFERROR(INDEX(Вставки[Обработка],MATCH(B201,Вставки[арт],0)) = 1,0)</f>
        <v>0</v>
      </c>
      <c r="E207" s="39" t="s">
        <v>6</v>
      </c>
      <c r="F207" s="356">
        <f>Ред!$E$33</f>
        <v>520.27052307692293</v>
      </c>
      <c r="H207" s="124"/>
      <c r="X207" s="189">
        <v>12</v>
      </c>
      <c r="Y207" s="189" t="s">
        <v>279</v>
      </c>
      <c r="Z207" s="167" t="s">
        <v>280</v>
      </c>
      <c r="AA207" s="189">
        <v>1</v>
      </c>
      <c r="AB207" s="164"/>
      <c r="AC207" s="189"/>
      <c r="AD207" s="310">
        <v>1</v>
      </c>
      <c r="AE207" s="256" t="s">
        <v>240</v>
      </c>
    </row>
    <row r="208" spans="1:31" ht="15" hidden="1" customHeight="1" outlineLevel="1" x14ac:dyDescent="0.3">
      <c r="A208" s="5"/>
      <c r="B208" s="288" t="s">
        <v>15</v>
      </c>
      <c r="C208" s="289" t="s">
        <v>371</v>
      </c>
      <c r="D208" s="290" t="s">
        <v>5</v>
      </c>
      <c r="E208" s="290" t="s">
        <v>3</v>
      </c>
      <c r="F208" s="291" t="s">
        <v>380</v>
      </c>
      <c r="G208" s="291" t="s">
        <v>7</v>
      </c>
      <c r="H208" s="124"/>
      <c r="X208" s="162">
        <v>13</v>
      </c>
      <c r="Y208" s="49" t="e">
        <f>INDEX(Ред!$A:$A,MATCH(Z208,Ред!B:B,0))</f>
        <v>#N/A</v>
      </c>
      <c r="Z208" s="386">
        <f>B217</f>
        <v>0</v>
      </c>
      <c r="AA208" s="50">
        <f>D217</f>
        <v>0</v>
      </c>
      <c r="AB208" s="164"/>
      <c r="AC208" s="164"/>
      <c r="AD208" s="310">
        <f>AA208</f>
        <v>0</v>
      </c>
      <c r="AE208" s="164" t="s">
        <v>241</v>
      </c>
    </row>
    <row r="209" spans="1:31" ht="15" hidden="1" customHeight="1" outlineLevel="1" x14ac:dyDescent="0.3">
      <c r="A209" s="292" t="s">
        <v>104</v>
      </c>
      <c r="B209" s="49" t="str">
        <f>INDEX(ПрофилиMAXАрт[полноенаим],MATCH(B195&amp;C209,ПрофилиMAXАрт[поиск],0))</f>
        <v>Фасад, Рамочный узкий профиль</v>
      </c>
      <c r="C209" s="21" t="str">
        <f>IF(A209=INDEX($P$3:$P$12, B194), "Да", "Нет")</f>
        <v>Нет</v>
      </c>
      <c r="D209" s="48" t="e">
        <f>INDEX(ПрофилиMAXАрт[], MATCH(B209, ПрофилиMAXАрт[полноенаим], 0), MATCH(B196, ПрофилиMAXАрт[#Headers], 0))</f>
        <v>#N/A</v>
      </c>
      <c r="E209" s="293" t="e">
        <f>VLOOKUP(D209, Ред!$B:$F, 4, 0)</f>
        <v>#N/A</v>
      </c>
      <c r="F209" s="48">
        <f>B197+IF(C209="Да", 200, 100)</f>
        <v>100</v>
      </c>
      <c r="G209" s="293" t="e">
        <f>E209/5400*F209*B199</f>
        <v>#N/A</v>
      </c>
      <c r="H209" s="124"/>
      <c r="X209" s="164">
        <v>14</v>
      </c>
      <c r="Y209" s="164" t="e">
        <f>INDEX(Ред!$A:$A,MATCH(Z209,Ред!B:B,0))</f>
        <v>#N/A</v>
      </c>
      <c r="Z209" s="386">
        <f>B218</f>
        <v>0</v>
      </c>
      <c r="AA209" s="164">
        <f>ROUNDUP(D218/2.6,1)</f>
        <v>0</v>
      </c>
      <c r="AB209" s="164"/>
      <c r="AC209" s="164"/>
      <c r="AD209" s="310">
        <f>B199</f>
        <v>0</v>
      </c>
      <c r="AE209" s="164" t="s">
        <v>240</v>
      </c>
    </row>
    <row r="210" spans="1:31" ht="15" hidden="1" customHeight="1" outlineLevel="1" x14ac:dyDescent="0.3">
      <c r="A210" s="292" t="s">
        <v>210</v>
      </c>
      <c r="B210" s="49" t="str">
        <f>INDEX(ПрофилиMAXАрт[полноенаим],MATCH(B195&amp;C210,ПрофилиMAXАрт[поиск],0))</f>
        <v>Фасад, Рамочный узкий профиль</v>
      </c>
      <c r="C210" s="21" t="str">
        <f>IF(A210=INDEX($P$3:$P$12, B194), "Да", "Нет")</f>
        <v>Нет</v>
      </c>
      <c r="D210" s="48" t="e">
        <f>INDEX(ПрофилиMAXАрт[], MATCH(B210, ПрофилиMAXАрт[полноенаим], 0), MATCH(B196, ПрофилиMAXАрт[#Headers], 0))</f>
        <v>#N/A</v>
      </c>
      <c r="E210" s="293" t="e">
        <f>VLOOKUP(D210, Ред!$B:$F, 4, 0)</f>
        <v>#N/A</v>
      </c>
      <c r="F210" s="48">
        <f>B198+IF(C210="Да", 200, 100)</f>
        <v>100</v>
      </c>
      <c r="G210" s="293" t="e">
        <f>E210/5400*F210*B199</f>
        <v>#N/A</v>
      </c>
      <c r="H210" s="124"/>
      <c r="X210" s="164">
        <v>15</v>
      </c>
      <c r="Y210" s="164" t="e">
        <f>INDEX(Ред!$A:$A,MATCH(Z210,Ред!B:B,0))</f>
        <v>#N/A</v>
      </c>
      <c r="Z210" s="386">
        <f>B216</f>
        <v>0</v>
      </c>
      <c r="AA210" s="309">
        <f>D216</f>
        <v>0</v>
      </c>
      <c r="AB210" s="164"/>
      <c r="AC210" s="164"/>
      <c r="AD210" s="310">
        <f>B199</f>
        <v>0</v>
      </c>
      <c r="AE210" s="164" t="s">
        <v>241</v>
      </c>
    </row>
    <row r="211" spans="1:31" ht="15" hidden="1" customHeight="1" outlineLevel="1" x14ac:dyDescent="0.3">
      <c r="A211" s="292" t="s">
        <v>230</v>
      </c>
      <c r="B211" s="49" t="str">
        <f>INDEX(ПрофилиMAXАрт[полноенаим],MATCH(B195&amp;C211,ПрофилиMAXАрт[поиск],0))</f>
        <v>Фасад, Рамочный узкий профиль</v>
      </c>
      <c r="C211" s="21" t="str">
        <f>IF(A211=INDEX($P$3:$P$12, B194), "Да", "Нет")</f>
        <v>Нет</v>
      </c>
      <c r="D211" s="48" t="e">
        <f>INDEX(ПрофилиMAXАрт[], MATCH(B211, ПрофилиMAXАрт[полноенаим], 0), MATCH(B196, ПрофилиMAXАрт[#Headers], 0))</f>
        <v>#N/A</v>
      </c>
      <c r="E211" s="293" t="e">
        <f>VLOOKUP(D211, Ред!$B:$F, 4, 0)</f>
        <v>#N/A</v>
      </c>
      <c r="F211" s="48">
        <f>B197+IF(C211="Да", 200, 100)</f>
        <v>100</v>
      </c>
      <c r="G211" s="293" t="e">
        <f>E211/5400*F211*B199</f>
        <v>#N/A</v>
      </c>
      <c r="H211" s="124"/>
    </row>
    <row r="212" spans="1:31" ht="15" hidden="1" customHeight="1" outlineLevel="1" x14ac:dyDescent="0.3">
      <c r="A212" s="292" t="s">
        <v>211</v>
      </c>
      <c r="B212" s="49" t="str">
        <f>INDEX(ПрофилиMAXАрт[полноенаим],MATCH(B195&amp;C212,ПрофилиMAXАрт[поиск],0))</f>
        <v>Фасад, Рамочный узкий профиль</v>
      </c>
      <c r="C212" s="21" t="str">
        <f>IF(A212=INDEX($P$3:$P$12, B194), "Да", "Нет")</f>
        <v>Нет</v>
      </c>
      <c r="D212" s="48" t="e">
        <f>INDEX(ПрофилиMAXАрт[], MATCH(B212, ПрофилиMAXАрт[полноенаим], 0), MATCH(B196, ПрофилиMAXАрт[#Headers], 0))</f>
        <v>#N/A</v>
      </c>
      <c r="E212" s="293" t="e">
        <f>VLOOKUP(D212, Ред!$B:$F, 4, 0)</f>
        <v>#N/A</v>
      </c>
      <c r="F212" s="48">
        <f>B198+IF(C212="Да", 200, 100)</f>
        <v>100</v>
      </c>
      <c r="G212" s="293" t="e">
        <f>E212/5400*F212*B199</f>
        <v>#N/A</v>
      </c>
      <c r="H212" s="124"/>
    </row>
    <row r="213" spans="1:31" ht="15" hidden="1" customHeight="1" outlineLevel="1" x14ac:dyDescent="0.3">
      <c r="H213" s="124"/>
    </row>
    <row r="214" spans="1:31" ht="15" hidden="1" customHeight="1" outlineLevel="1" thickBot="1" x14ac:dyDescent="0.35">
      <c r="A214" s="297" t="s">
        <v>676</v>
      </c>
      <c r="B214" s="298" t="s">
        <v>389</v>
      </c>
      <c r="C214" s="299">
        <f>INDEX($Q$3:$Q$12, B194)</f>
        <v>0</v>
      </c>
      <c r="H214" s="124"/>
    </row>
    <row r="215" spans="1:31" ht="15" hidden="1" customHeight="1" outlineLevel="1" x14ac:dyDescent="0.3">
      <c r="B215" s="296" t="s">
        <v>390</v>
      </c>
      <c r="C215" s="19" t="s">
        <v>6</v>
      </c>
      <c r="D215" s="48" t="s">
        <v>379</v>
      </c>
      <c r="E215" s="48" t="s">
        <v>270</v>
      </c>
      <c r="F215" s="124"/>
      <c r="G215" s="124"/>
      <c r="H215" s="124"/>
    </row>
    <row r="216" spans="1:31" ht="15" hidden="1" customHeight="1" outlineLevel="1" x14ac:dyDescent="0.3">
      <c r="A216" s="294" t="s">
        <v>382</v>
      </c>
      <c r="B216" s="295">
        <f>IFERROR(INDEX(ФурнитураMAX[Петли], MATCH(C214,ФурнитураMAX[Цвет петель], 0)),0)</f>
        <v>0</v>
      </c>
      <c r="C216" s="293">
        <f>IFERROR(VLOOKUP(B216, Ред!$B:$F, 4, 0),0)</f>
        <v>0</v>
      </c>
      <c r="D216" s="50">
        <f>IF(INDEX($U$3:$U$12, B194)=0, 0, B199)</f>
        <v>0</v>
      </c>
      <c r="E216" s="48">
        <f>C216*D216</f>
        <v>0</v>
      </c>
      <c r="F216" s="124"/>
      <c r="G216" s="124"/>
      <c r="H216" s="124"/>
    </row>
    <row r="217" spans="1:31" ht="15" hidden="1" customHeight="1" outlineLevel="1" x14ac:dyDescent="0.3">
      <c r="A217" s="294" t="s">
        <v>383</v>
      </c>
      <c r="B217" s="295">
        <f>IFERROR(INDEX(ФурнитураMAX[Уголок], MATCH(C214,ФурнитураMAX[Цвет петель], 0)),0)</f>
        <v>0</v>
      </c>
      <c r="C217" s="293">
        <f>IFERROR(IF(B217="Нет", 0, VLOOKUP(B217, Ред!$B:$F, 4, 0)),0)</f>
        <v>0</v>
      </c>
      <c r="D217" s="50">
        <f>B199</f>
        <v>0</v>
      </c>
      <c r="E217" s="48">
        <f>C217*D217</f>
        <v>0</v>
      </c>
      <c r="H217" s="124"/>
    </row>
    <row r="218" spans="1:31" ht="15" hidden="1" customHeight="1" outlineLevel="1" x14ac:dyDescent="0.3">
      <c r="A218" s="294" t="s">
        <v>384</v>
      </c>
      <c r="B218" s="295">
        <f>IFERROR(INDEX(ФурнитураMAX[Уплотнитель], MATCH(C214,ФурнитураMAX[Цвет петель], 0)),0)</f>
        <v>0</v>
      </c>
      <c r="C218" s="293">
        <f>IFERROR(VLOOKUP(B218, Ред!$B:$F, 4, 0)/3,0)</f>
        <v>0</v>
      </c>
      <c r="D218" s="49">
        <f>CEILING((B197+B198)*2*B199/1000,1)</f>
        <v>0</v>
      </c>
      <c r="E218" s="48">
        <f>C218*D218</f>
        <v>0</v>
      </c>
      <c r="H218" s="124"/>
    </row>
    <row r="219" spans="1:31" ht="15" hidden="1" customHeight="1" outlineLevel="1" x14ac:dyDescent="0.3">
      <c r="A219" s="70" t="s">
        <v>97</v>
      </c>
      <c r="B219" s="300"/>
      <c r="C219" s="71"/>
      <c r="D219" s="301"/>
      <c r="E219" s="71">
        <v>413</v>
      </c>
      <c r="F219" s="124"/>
      <c r="G219" s="124"/>
      <c r="H219" s="124"/>
    </row>
    <row r="220" spans="1:31" ht="15" hidden="1" customHeight="1" outlineLevel="1" x14ac:dyDescent="0.3">
      <c r="A220" s="70" t="s">
        <v>98</v>
      </c>
      <c r="B220" s="71"/>
      <c r="C220" s="71"/>
      <c r="D220" s="71"/>
      <c r="E220" s="71">
        <v>413</v>
      </c>
      <c r="H220" s="124"/>
    </row>
    <row r="221" spans="1:31" ht="15" hidden="1" customHeight="1" outlineLevel="1" x14ac:dyDescent="0.3"/>
    <row r="222" spans="1:31" ht="15" hidden="1" customHeight="1" outlineLevel="1" thickBot="1" x14ac:dyDescent="0.35">
      <c r="A222" s="302" t="s">
        <v>395</v>
      </c>
      <c r="B222" s="285" t="e">
        <f>SUM(B206, B207, G209:G212, E216:E220)</f>
        <v>#N/A</v>
      </c>
      <c r="C222" s="385" t="e">
        <f>SUM(B206:B207, G209:G212, E218:E220)</f>
        <v>#N/A</v>
      </c>
      <c r="F222" s="278"/>
    </row>
    <row r="223" spans="1:31" ht="15" hidden="1" customHeight="1" outlineLevel="1" thickTop="1" x14ac:dyDescent="0.3">
      <c r="A223" s="145"/>
      <c r="B223" s="134"/>
      <c r="D223" s="124"/>
      <c r="E223" s="124"/>
      <c r="F223" s="124"/>
      <c r="G223" s="124"/>
      <c r="H223" s="124"/>
    </row>
    <row r="224" spans="1:31" ht="15.6" hidden="1" outlineLevel="1" x14ac:dyDescent="0.3">
      <c r="A224" s="145"/>
      <c r="B224" s="134"/>
      <c r="C224" s="5"/>
    </row>
    <row r="225" spans="1:31" ht="16.2" hidden="1" outlineLevel="1" thickBot="1" x14ac:dyDescent="0.35">
      <c r="A225" s="145"/>
      <c r="B225" s="134"/>
      <c r="C225" s="5"/>
      <c r="X225" s="661" t="s">
        <v>255</v>
      </c>
      <c r="Y225" s="661"/>
      <c r="Z225" s="661"/>
      <c r="AA225" s="661"/>
      <c r="AB225" s="661"/>
      <c r="AC225" s="661"/>
      <c r="AD225" s="661"/>
      <c r="AE225" s="661"/>
    </row>
    <row r="226" spans="1:31" ht="15" customHeight="1" collapsed="1" thickTop="1" thickBot="1" x14ac:dyDescent="0.45">
      <c r="A226" s="286" t="s">
        <v>396</v>
      </c>
      <c r="B226" s="287">
        <v>8</v>
      </c>
      <c r="X226" s="147" t="s">
        <v>115</v>
      </c>
      <c r="Y226" s="147" t="s">
        <v>232</v>
      </c>
      <c r="Z226" s="147" t="s">
        <v>233</v>
      </c>
      <c r="AA226" s="163" t="s">
        <v>149</v>
      </c>
      <c r="AB226" s="147" t="s">
        <v>234</v>
      </c>
      <c r="AC226" s="147" t="s">
        <v>235</v>
      </c>
      <c r="AD226" s="148" t="s">
        <v>236</v>
      </c>
      <c r="AE226" s="147" t="s">
        <v>237</v>
      </c>
    </row>
    <row r="227" spans="1:31" ht="15" hidden="1" customHeight="1" outlineLevel="1" thickTop="1" x14ac:dyDescent="0.3">
      <c r="A227" s="134" t="s">
        <v>358</v>
      </c>
      <c r="B227" s="279" t="s">
        <v>365</v>
      </c>
      <c r="C227" s="5"/>
      <c r="X227" s="161"/>
      <c r="Y227" s="191" t="s">
        <v>15</v>
      </c>
      <c r="Z227" s="191" t="s">
        <v>5</v>
      </c>
      <c r="AA227" s="191" t="s">
        <v>238</v>
      </c>
      <c r="AB227" s="191" t="s">
        <v>239</v>
      </c>
      <c r="AC227" s="195" t="s">
        <v>16</v>
      </c>
      <c r="AD227" s="196" t="s">
        <v>8</v>
      </c>
      <c r="AE227" s="191"/>
    </row>
    <row r="228" spans="1:31" ht="15" hidden="1" customHeight="1" outlineLevel="1" x14ac:dyDescent="0.3">
      <c r="A228" s="5" t="s">
        <v>376</v>
      </c>
      <c r="B228" s="279" t="e">
        <f>INDEX($L$3:$L$12, B226)</f>
        <v>#N/A</v>
      </c>
      <c r="C228" s="5"/>
      <c r="X228" s="162">
        <v>1</v>
      </c>
      <c r="Y228" s="162" t="str">
        <f>B241</f>
        <v>Фасад, Рамочный узкий профиль</v>
      </c>
      <c r="Z228" s="166" t="e">
        <f>D241</f>
        <v>#N/A</v>
      </c>
      <c r="AA228" s="192">
        <f>ROUNDUP(F241/5400*1.1*AD228, 2)</f>
        <v>0</v>
      </c>
      <c r="AB228" s="194"/>
      <c r="AC228" s="162" t="str">
        <f>B229&amp;"мм-"&amp;B231&amp;"шт"</f>
        <v>0мм-0шт</v>
      </c>
      <c r="AD228" s="310">
        <f>B231</f>
        <v>0</v>
      </c>
      <c r="AE228" s="197" t="s">
        <v>240</v>
      </c>
    </row>
    <row r="229" spans="1:31" ht="15" hidden="1" customHeight="1" outlineLevel="1" x14ac:dyDescent="0.3">
      <c r="A229" s="5" t="s">
        <v>4</v>
      </c>
      <c r="B229" s="279">
        <f>INDEX($R$3:$R$12, B226)</f>
        <v>0</v>
      </c>
      <c r="C229" s="5"/>
      <c r="X229" s="162">
        <v>2</v>
      </c>
      <c r="Y229" s="162" t="str">
        <f>B242</f>
        <v>Фасад, Рамочный узкий профиль</v>
      </c>
      <c r="Z229" s="166" t="e">
        <f>D242</f>
        <v>#N/A</v>
      </c>
      <c r="AA229" s="192">
        <f>ROUNDUP(F242/5400*1.1*AD229, 2)</f>
        <v>0</v>
      </c>
      <c r="AB229" s="162"/>
      <c r="AC229" s="162" t="str">
        <f>B230&amp;"мм-"&amp;B231&amp;"шт"</f>
        <v>0мм-0шт</v>
      </c>
      <c r="AD229" s="310">
        <f>B231</f>
        <v>0</v>
      </c>
      <c r="AE229" s="197" t="s">
        <v>240</v>
      </c>
    </row>
    <row r="230" spans="1:31" ht="15" hidden="1" customHeight="1" outlineLevel="1" x14ac:dyDescent="0.3">
      <c r="A230" s="5" t="s">
        <v>1</v>
      </c>
      <c r="B230" s="279">
        <f>INDEX($S$3:$S$12, B226)</f>
        <v>0</v>
      </c>
      <c r="D230" s="134"/>
      <c r="E230" s="124"/>
      <c r="F230" s="124"/>
      <c r="G230" s="124"/>
      <c r="X230" s="162">
        <v>3</v>
      </c>
      <c r="Y230" s="164" t="str">
        <f>B243</f>
        <v>Фасад, Рамочный узкий профиль</v>
      </c>
      <c r="Z230" s="193" t="e">
        <f>D243</f>
        <v>#N/A</v>
      </c>
      <c r="AA230" s="192">
        <f>ROUNDUP(F243/5400*1.1*AD230, 2)</f>
        <v>0</v>
      </c>
      <c r="AB230" s="164"/>
      <c r="AC230" s="162" t="str">
        <f>B229&amp;"мм-"&amp;B231&amp;"шт"</f>
        <v>0мм-0шт</v>
      </c>
      <c r="AD230" s="310">
        <f>B231</f>
        <v>0</v>
      </c>
      <c r="AE230" s="197" t="s">
        <v>240</v>
      </c>
    </row>
    <row r="231" spans="1:31" ht="15" hidden="1" customHeight="1" outlineLevel="1" x14ac:dyDescent="0.3">
      <c r="A231" s="39" t="s">
        <v>72</v>
      </c>
      <c r="B231" s="280">
        <f>INDEX($T$3:$T$12, B226)</f>
        <v>0</v>
      </c>
      <c r="C231" s="40"/>
      <c r="D231" s="40"/>
      <c r="E231" s="40"/>
      <c r="F231" s="271"/>
      <c r="G231" s="271"/>
      <c r="X231" s="162">
        <v>4</v>
      </c>
      <c r="Y231" s="164" t="str">
        <f>B244</f>
        <v>Фасад, Рамочный узкий профиль</v>
      </c>
      <c r="Z231" s="193" t="e">
        <f>D244</f>
        <v>#N/A</v>
      </c>
      <c r="AA231" s="192">
        <f>ROUNDUP(F244/5400*1.1*AD231, 2)</f>
        <v>0</v>
      </c>
      <c r="AB231" s="194"/>
      <c r="AC231" s="162" t="str">
        <f>B230&amp;"мм-"&amp;B231&amp;"шт"</f>
        <v>0мм-0шт</v>
      </c>
      <c r="AD231" s="310">
        <f>B231</f>
        <v>0</v>
      </c>
      <c r="AE231" s="197" t="s">
        <v>240</v>
      </c>
    </row>
    <row r="232" spans="1:31" ht="15" hidden="1" customHeight="1" outlineLevel="1" x14ac:dyDescent="0.3">
      <c r="A232" s="39" t="s">
        <v>360</v>
      </c>
      <c r="B232" s="269">
        <f>INDEX($M$3:$M$12, B226)</f>
        <v>0</v>
      </c>
      <c r="F232" s="124"/>
      <c r="G232" s="124"/>
      <c r="X232" s="162">
        <v>5</v>
      </c>
      <c r="Y232" s="164">
        <f>B232</f>
        <v>0</v>
      </c>
      <c r="Z232" s="164" t="str">
        <f>B233</f>
        <v>.</v>
      </c>
      <c r="AA232" s="309">
        <f>B231</f>
        <v>0</v>
      </c>
      <c r="AB232" s="164" t="str">
        <f>CONCATENATE("В ",B235,", ","Ш ",B236)</f>
        <v>В -6, Ш -6</v>
      </c>
      <c r="AC232" s="164"/>
      <c r="AD232" s="310">
        <f>B231</f>
        <v>0</v>
      </c>
      <c r="AE232" s="197" t="s">
        <v>278</v>
      </c>
    </row>
    <row r="233" spans="1:31" ht="15" hidden="1" customHeight="1" outlineLevel="1" x14ac:dyDescent="0.3">
      <c r="A233" s="39" t="s">
        <v>381</v>
      </c>
      <c r="B233" s="269" t="str">
        <f>IFERROR(INDEX($N$3:$N$12, B226),0)</f>
        <v>.</v>
      </c>
      <c r="F233" s="124"/>
      <c r="G233" s="124"/>
      <c r="X233" s="162">
        <v>6</v>
      </c>
      <c r="Y233" s="164" t="s">
        <v>242</v>
      </c>
      <c r="Z233" s="167" t="s">
        <v>243</v>
      </c>
      <c r="AA233" s="164">
        <f>IF(B229&gt;550,2*AD233,1*AD233)</f>
        <v>0</v>
      </c>
      <c r="AB233" s="164"/>
      <c r="AC233" s="164"/>
      <c r="AD233" s="310">
        <f>B231</f>
        <v>0</v>
      </c>
      <c r="AE233" s="197" t="s">
        <v>240</v>
      </c>
    </row>
    <row r="234" spans="1:31" ht="15" hidden="1" customHeight="1" outlineLevel="1" x14ac:dyDescent="0.3">
      <c r="A234" s="39" t="s">
        <v>398</v>
      </c>
      <c r="B234" s="281">
        <f>IFERROR(IF(B233=".", 0, VLOOKUP(B233, Ред!$B:$F, 4, 0)),0)</f>
        <v>0</v>
      </c>
      <c r="F234" s="124"/>
      <c r="G234" s="124"/>
      <c r="H234" s="124"/>
      <c r="X234" s="162">
        <v>7</v>
      </c>
      <c r="Y234" s="164" t="s">
        <v>244</v>
      </c>
      <c r="Z234" s="167" t="s">
        <v>245</v>
      </c>
      <c r="AA234" s="164">
        <f>(B229+B230)*2/1000*AD234</f>
        <v>0</v>
      </c>
      <c r="AB234" s="164"/>
      <c r="AC234" s="164"/>
      <c r="AD234" s="310">
        <f>B231</f>
        <v>0</v>
      </c>
      <c r="AE234" s="197" t="s">
        <v>240</v>
      </c>
    </row>
    <row r="235" spans="1:31" s="40" customFormat="1" ht="15" hidden="1" customHeight="1" outlineLevel="1" x14ac:dyDescent="0.3">
      <c r="A235" s="39" t="s">
        <v>399</v>
      </c>
      <c r="B235" s="282">
        <f>B229-6</f>
        <v>-6</v>
      </c>
      <c r="C235" s="39"/>
      <c r="D235" s="39"/>
      <c r="E235" s="39"/>
      <c r="F235" s="124"/>
      <c r="G235" s="124"/>
      <c r="X235" s="162">
        <v>8</v>
      </c>
      <c r="Y235" s="165" t="s">
        <v>246</v>
      </c>
      <c r="Z235" s="167" t="s">
        <v>247</v>
      </c>
      <c r="AA235" s="164">
        <f>0.02*AD235</f>
        <v>0</v>
      </c>
      <c r="AB235" s="164"/>
      <c r="AC235" s="164"/>
      <c r="AD235" s="310">
        <f>B231</f>
        <v>0</v>
      </c>
      <c r="AE235" s="197" t="s">
        <v>240</v>
      </c>
    </row>
    <row r="236" spans="1:31" ht="15" hidden="1" customHeight="1" outlineLevel="1" x14ac:dyDescent="0.3">
      <c r="A236" s="39" t="s">
        <v>400</v>
      </c>
      <c r="B236" s="282">
        <f>B230-6</f>
        <v>-6</v>
      </c>
      <c r="C236" s="5"/>
      <c r="D236" s="124"/>
      <c r="E236" s="124"/>
      <c r="F236" s="124"/>
      <c r="G236" s="124"/>
      <c r="H236" s="124"/>
      <c r="X236" s="162">
        <v>9</v>
      </c>
      <c r="Y236" s="164" t="s">
        <v>475</v>
      </c>
      <c r="Z236" s="167" t="s">
        <v>474</v>
      </c>
      <c r="AA236" s="193">
        <f>(((B230*2)/1000)+0.5)/66*B231</f>
        <v>0</v>
      </c>
      <c r="AB236" s="164"/>
      <c r="AC236" s="164"/>
      <c r="AD236" s="310">
        <f>B231</f>
        <v>0</v>
      </c>
      <c r="AE236" s="197" t="s">
        <v>240</v>
      </c>
    </row>
    <row r="237" spans="1:31" ht="15" hidden="1" customHeight="1" outlineLevel="1" x14ac:dyDescent="0.3">
      <c r="A237" s="39" t="s">
        <v>401</v>
      </c>
      <c r="B237" s="283">
        <f>B235*B236/1000000</f>
        <v>3.6000000000000001E-5</v>
      </c>
      <c r="C237" s="5"/>
      <c r="D237" s="124"/>
      <c r="E237" s="124"/>
      <c r="F237" s="124"/>
      <c r="G237" s="124"/>
      <c r="H237" s="124"/>
      <c r="X237" s="162">
        <v>10</v>
      </c>
      <c r="Y237" s="164" t="s">
        <v>248</v>
      </c>
      <c r="Z237" s="167" t="s">
        <v>249</v>
      </c>
      <c r="AA237" s="193">
        <f>((B230*8/1000)+0.5)/45*B231</f>
        <v>0</v>
      </c>
      <c r="AB237" s="164"/>
      <c r="AC237" s="164"/>
      <c r="AD237" s="310">
        <f>B231</f>
        <v>0</v>
      </c>
      <c r="AE237" s="197" t="s">
        <v>240</v>
      </c>
    </row>
    <row r="238" spans="1:31" ht="15" hidden="1" customHeight="1" outlineLevel="1" x14ac:dyDescent="0.3">
      <c r="A238" s="145" t="s">
        <v>402</v>
      </c>
      <c r="B238" s="284">
        <f>B234*B237*B231</f>
        <v>0</v>
      </c>
      <c r="H238" s="124"/>
      <c r="X238" s="188">
        <v>11</v>
      </c>
      <c r="Y238" s="189" t="s">
        <v>250</v>
      </c>
      <c r="Z238" s="190" t="s">
        <v>251</v>
      </c>
      <c r="AA238" s="189">
        <f>((B230*4/1000)+1)</f>
        <v>1</v>
      </c>
      <c r="AB238" s="189"/>
      <c r="AC238" s="189"/>
      <c r="AD238" s="311">
        <f>B231</f>
        <v>0</v>
      </c>
      <c r="AE238" s="197" t="s">
        <v>240</v>
      </c>
    </row>
    <row r="239" spans="1:31" ht="15" hidden="1" customHeight="1" outlineLevel="1" x14ac:dyDescent="0.3">
      <c r="A239" s="39" t="s">
        <v>576</v>
      </c>
      <c r="B239" s="356">
        <f>IFERROR(IF(D239,(B235+B236)/1000*2*F239*B231,0),0)</f>
        <v>0</v>
      </c>
      <c r="C239" s="39" t="s">
        <v>574</v>
      </c>
      <c r="D239" s="39">
        <f>IFERROR(INDEX(Вставки[Обработка],MATCH(B233,Вставки[арт],0)) = 1,0)</f>
        <v>0</v>
      </c>
      <c r="E239" s="39" t="s">
        <v>6</v>
      </c>
      <c r="F239" s="356">
        <f>Ред!$E$33</f>
        <v>520.27052307692293</v>
      </c>
      <c r="H239" s="124"/>
      <c r="X239" s="189">
        <v>12</v>
      </c>
      <c r="Y239" s="189" t="s">
        <v>279</v>
      </c>
      <c r="Z239" s="167" t="s">
        <v>280</v>
      </c>
      <c r="AA239" s="189">
        <v>1</v>
      </c>
      <c r="AB239" s="164"/>
      <c r="AC239" s="189"/>
      <c r="AD239" s="310">
        <v>1</v>
      </c>
      <c r="AE239" s="256" t="s">
        <v>240</v>
      </c>
    </row>
    <row r="240" spans="1:31" ht="15" hidden="1" customHeight="1" outlineLevel="1" x14ac:dyDescent="0.3">
      <c r="A240" s="5"/>
      <c r="B240" s="288" t="s">
        <v>15</v>
      </c>
      <c r="C240" s="289" t="s">
        <v>371</v>
      </c>
      <c r="D240" s="290" t="s">
        <v>5</v>
      </c>
      <c r="E240" s="290" t="s">
        <v>3</v>
      </c>
      <c r="F240" s="291" t="s">
        <v>380</v>
      </c>
      <c r="G240" s="291" t="s">
        <v>7</v>
      </c>
      <c r="H240" s="124"/>
      <c r="X240" s="162">
        <v>13</v>
      </c>
      <c r="Y240" s="49" t="e">
        <f>INDEX(Ред!$A:$A,MATCH(Z240,Ред!B:B,0))</f>
        <v>#N/A</v>
      </c>
      <c r="Z240" s="386">
        <f>B249</f>
        <v>0</v>
      </c>
      <c r="AA240" s="50">
        <f>D249</f>
        <v>0</v>
      </c>
      <c r="AB240" s="164"/>
      <c r="AC240" s="164"/>
      <c r="AD240" s="310">
        <f>AA240</f>
        <v>0</v>
      </c>
      <c r="AE240" s="164" t="s">
        <v>241</v>
      </c>
    </row>
    <row r="241" spans="1:31" ht="15" hidden="1" customHeight="1" outlineLevel="1" x14ac:dyDescent="0.3">
      <c r="A241" s="292" t="s">
        <v>104</v>
      </c>
      <c r="B241" s="49" t="str">
        <f>INDEX(ПрофилиMAXАрт[полноенаим],MATCH(B227&amp;C241,ПрофилиMAXАрт[поиск],0))</f>
        <v>Фасад, Рамочный узкий профиль</v>
      </c>
      <c r="C241" s="21" t="str">
        <f>IF(A241=INDEX($P$3:$P$12, B226), "Да", "Нет")</f>
        <v>Нет</v>
      </c>
      <c r="D241" s="48" t="e">
        <f>INDEX(ПрофилиMAXАрт[], MATCH(B241, ПрофилиMAXАрт[полноенаим], 0), MATCH(B228, ПрофилиMAXАрт[#Headers], 0))</f>
        <v>#N/A</v>
      </c>
      <c r="E241" s="293" t="e">
        <f>VLOOKUP(D241, Ред!$B:$F, 4, 0)</f>
        <v>#N/A</v>
      </c>
      <c r="F241" s="48">
        <f>B229+IF(C241="Да", 200, 100)</f>
        <v>100</v>
      </c>
      <c r="G241" s="293" t="e">
        <f>E241/5400*F241*B231</f>
        <v>#N/A</v>
      </c>
      <c r="H241" s="124"/>
      <c r="X241" s="164">
        <v>14</v>
      </c>
      <c r="Y241" s="164" t="e">
        <f>INDEX(Ред!$A:$A,MATCH(Z241,Ред!B:B,0))</f>
        <v>#N/A</v>
      </c>
      <c r="Z241" s="386">
        <f>B250</f>
        <v>0</v>
      </c>
      <c r="AA241" s="164">
        <f>ROUNDUP(D250/2.6,1)</f>
        <v>0</v>
      </c>
      <c r="AB241" s="164"/>
      <c r="AC241" s="164"/>
      <c r="AD241" s="310">
        <f>B231</f>
        <v>0</v>
      </c>
      <c r="AE241" s="164" t="s">
        <v>240</v>
      </c>
    </row>
    <row r="242" spans="1:31" ht="15" hidden="1" customHeight="1" outlineLevel="1" x14ac:dyDescent="0.3">
      <c r="A242" s="292" t="s">
        <v>210</v>
      </c>
      <c r="B242" s="49" t="str">
        <f>INDEX(ПрофилиMAXАрт[полноенаим],MATCH(B227&amp;C242,ПрофилиMAXАрт[поиск],0))</f>
        <v>Фасад, Рамочный узкий профиль</v>
      </c>
      <c r="C242" s="21" t="str">
        <f>IF(A242=INDEX($P$3:$P$12, B226), "Да", "Нет")</f>
        <v>Нет</v>
      </c>
      <c r="D242" s="48" t="e">
        <f>INDEX(ПрофилиMAXАрт[], MATCH(B242, ПрофилиMAXАрт[полноенаим], 0), MATCH(B228, ПрофилиMAXАрт[#Headers], 0))</f>
        <v>#N/A</v>
      </c>
      <c r="E242" s="293" t="e">
        <f>VLOOKUP(D242, Ред!$B:$F, 4, 0)</f>
        <v>#N/A</v>
      </c>
      <c r="F242" s="48">
        <f>B230+IF(C242="Да", 200, 100)</f>
        <v>100</v>
      </c>
      <c r="G242" s="293" t="e">
        <f>E242/5400*F242*B231</f>
        <v>#N/A</v>
      </c>
      <c r="H242" s="124"/>
      <c r="X242" s="164">
        <v>15</v>
      </c>
      <c r="Y242" s="164" t="e">
        <f>INDEX(Ред!$A:$A,MATCH(Z242,Ред!B:B,0))</f>
        <v>#N/A</v>
      </c>
      <c r="Z242" s="386">
        <f>B248</f>
        <v>0</v>
      </c>
      <c r="AA242" s="309">
        <f>D248</f>
        <v>0</v>
      </c>
      <c r="AB242" s="164"/>
      <c r="AC242" s="164"/>
      <c r="AD242" s="310">
        <f>B231</f>
        <v>0</v>
      </c>
      <c r="AE242" s="164" t="s">
        <v>241</v>
      </c>
    </row>
    <row r="243" spans="1:31" ht="15" hidden="1" customHeight="1" outlineLevel="1" x14ac:dyDescent="0.3">
      <c r="A243" s="292" t="s">
        <v>230</v>
      </c>
      <c r="B243" s="49" t="str">
        <f>INDEX(ПрофилиMAXАрт[полноенаим],MATCH(B227&amp;C243,ПрофилиMAXАрт[поиск],0))</f>
        <v>Фасад, Рамочный узкий профиль</v>
      </c>
      <c r="C243" s="21" t="str">
        <f>IF(A243=INDEX($P$3:$P$12, B226), "Да", "Нет")</f>
        <v>Нет</v>
      </c>
      <c r="D243" s="48" t="e">
        <f>INDEX(ПрофилиMAXАрт[], MATCH(B243, ПрофилиMAXАрт[полноенаим], 0), MATCH(B228, ПрофилиMAXАрт[#Headers], 0))</f>
        <v>#N/A</v>
      </c>
      <c r="E243" s="293" t="e">
        <f>VLOOKUP(D243, Ред!$B:$F, 4, 0)</f>
        <v>#N/A</v>
      </c>
      <c r="F243" s="48">
        <f>B229+IF(C243="Да", 200, 100)</f>
        <v>100</v>
      </c>
      <c r="G243" s="293" t="e">
        <f>E243/5400*F243*B231</f>
        <v>#N/A</v>
      </c>
      <c r="H243" s="124"/>
    </row>
    <row r="244" spans="1:31" ht="15" hidden="1" customHeight="1" outlineLevel="1" x14ac:dyDescent="0.3">
      <c r="A244" s="292" t="s">
        <v>211</v>
      </c>
      <c r="B244" s="49" t="str">
        <f>INDEX(ПрофилиMAXАрт[полноенаим],MATCH(B227&amp;C244,ПрофилиMAXАрт[поиск],0))</f>
        <v>Фасад, Рамочный узкий профиль</v>
      </c>
      <c r="C244" s="21" t="str">
        <f>IF(A244=INDEX($P$3:$P$12, B226), "Да", "Нет")</f>
        <v>Нет</v>
      </c>
      <c r="D244" s="48" t="e">
        <f>INDEX(ПрофилиMAXАрт[], MATCH(B244, ПрофилиMAXАрт[полноенаим], 0), MATCH(B228, ПрофилиMAXАрт[#Headers], 0))</f>
        <v>#N/A</v>
      </c>
      <c r="E244" s="293" t="e">
        <f>VLOOKUP(D244, Ред!$B:$F, 4, 0)</f>
        <v>#N/A</v>
      </c>
      <c r="F244" s="48">
        <f>B230+IF(C244="Да", 200, 100)</f>
        <v>100</v>
      </c>
      <c r="G244" s="293" t="e">
        <f>E244/5400*F244*B231</f>
        <v>#N/A</v>
      </c>
      <c r="H244" s="124"/>
    </row>
    <row r="245" spans="1:31" ht="15" hidden="1" customHeight="1" outlineLevel="1" x14ac:dyDescent="0.3">
      <c r="H245" s="124"/>
    </row>
    <row r="246" spans="1:31" ht="15" hidden="1" customHeight="1" outlineLevel="1" thickBot="1" x14ac:dyDescent="0.35">
      <c r="A246" s="297" t="s">
        <v>676</v>
      </c>
      <c r="B246" s="298" t="s">
        <v>389</v>
      </c>
      <c r="C246" s="299">
        <f>INDEX($Q$3:$Q$12, B226)</f>
        <v>0</v>
      </c>
      <c r="H246" s="124"/>
    </row>
    <row r="247" spans="1:31" ht="15" hidden="1" customHeight="1" outlineLevel="1" x14ac:dyDescent="0.3">
      <c r="B247" s="296" t="s">
        <v>390</v>
      </c>
      <c r="C247" s="19" t="s">
        <v>6</v>
      </c>
      <c r="D247" s="48" t="s">
        <v>379</v>
      </c>
      <c r="E247" s="48" t="s">
        <v>270</v>
      </c>
      <c r="F247" s="124"/>
      <c r="G247" s="124"/>
      <c r="H247" s="124"/>
    </row>
    <row r="248" spans="1:31" ht="15" hidden="1" customHeight="1" outlineLevel="1" x14ac:dyDescent="0.3">
      <c r="A248" s="294" t="s">
        <v>382</v>
      </c>
      <c r="B248" s="295">
        <f>IFERROR(INDEX(ФурнитураMAX[Петли], MATCH(C246,ФурнитураMAX[Цвет петель], 0)),0)</f>
        <v>0</v>
      </c>
      <c r="C248" s="293">
        <f>IFERROR(VLOOKUP(B248, Ред!$B:$F, 4, 0),0)</f>
        <v>0</v>
      </c>
      <c r="D248" s="50">
        <f>IF(INDEX($U$3:$U$12, B226)=0, 0, B231)</f>
        <v>0</v>
      </c>
      <c r="E248" s="48">
        <f>C248*D248</f>
        <v>0</v>
      </c>
      <c r="F248" s="124"/>
      <c r="G248" s="124"/>
      <c r="H248" s="124"/>
    </row>
    <row r="249" spans="1:31" ht="15" hidden="1" customHeight="1" outlineLevel="1" x14ac:dyDescent="0.3">
      <c r="A249" s="294" t="s">
        <v>383</v>
      </c>
      <c r="B249" s="295">
        <f>IFERROR(INDEX(ФурнитураMAX[Уголок], MATCH(C246,ФурнитураMAX[Цвет петель], 0)),0)</f>
        <v>0</v>
      </c>
      <c r="C249" s="293">
        <f>IFERROR(IF(B249="Нет", 0, VLOOKUP(B249, Ред!$B:$F, 4, 0)),0)</f>
        <v>0</v>
      </c>
      <c r="D249" s="50">
        <f>B231</f>
        <v>0</v>
      </c>
      <c r="E249" s="48">
        <f>C249*D249</f>
        <v>0</v>
      </c>
      <c r="H249" s="124"/>
    </row>
    <row r="250" spans="1:31" ht="15" hidden="1" customHeight="1" outlineLevel="1" x14ac:dyDescent="0.3">
      <c r="A250" s="294" t="s">
        <v>384</v>
      </c>
      <c r="B250" s="295">
        <f>IFERROR(INDEX(ФурнитураMAX[Уплотнитель], MATCH(C246,ФурнитураMAX[Цвет петель], 0)),0)</f>
        <v>0</v>
      </c>
      <c r="C250" s="293">
        <f>IFERROR(VLOOKUP(B250, Ред!$B:$F, 4, 0)/3,0)</f>
        <v>0</v>
      </c>
      <c r="D250" s="49">
        <f>CEILING((B229+B230)*2*B231/1000,1)</f>
        <v>0</v>
      </c>
      <c r="E250" s="48">
        <f>C250*D250</f>
        <v>0</v>
      </c>
      <c r="H250" s="124"/>
    </row>
    <row r="251" spans="1:31" ht="15" hidden="1" customHeight="1" outlineLevel="1" x14ac:dyDescent="0.3">
      <c r="A251" s="70" t="s">
        <v>97</v>
      </c>
      <c r="B251" s="300"/>
      <c r="C251" s="71"/>
      <c r="D251" s="301"/>
      <c r="E251" s="71">
        <v>413</v>
      </c>
      <c r="F251" s="124"/>
      <c r="G251" s="124"/>
      <c r="H251" s="124"/>
    </row>
    <row r="252" spans="1:31" ht="15" hidden="1" customHeight="1" outlineLevel="1" x14ac:dyDescent="0.3">
      <c r="A252" s="70" t="s">
        <v>98</v>
      </c>
      <c r="B252" s="71"/>
      <c r="C252" s="71"/>
      <c r="D252" s="71"/>
      <c r="E252" s="71">
        <v>413</v>
      </c>
      <c r="H252" s="124"/>
    </row>
    <row r="253" spans="1:31" ht="15" hidden="1" customHeight="1" outlineLevel="1" x14ac:dyDescent="0.3"/>
    <row r="254" spans="1:31" ht="15" hidden="1" customHeight="1" outlineLevel="1" thickBot="1" x14ac:dyDescent="0.35">
      <c r="A254" s="302" t="s">
        <v>395</v>
      </c>
      <c r="B254" s="285" t="e">
        <f>SUM(B238, B239, G241:G244, E248:E252)</f>
        <v>#N/A</v>
      </c>
      <c r="C254" s="385" t="e">
        <f>SUM(B238:B239, G241:G244, E250:E252)</f>
        <v>#N/A</v>
      </c>
      <c r="F254" s="278"/>
    </row>
    <row r="255" spans="1:31" ht="15" hidden="1" customHeight="1" outlineLevel="1" thickTop="1" x14ac:dyDescent="0.3">
      <c r="A255" s="145"/>
      <c r="B255" s="134"/>
      <c r="D255" s="124"/>
      <c r="E255" s="124"/>
      <c r="F255" s="124"/>
      <c r="G255" s="124"/>
      <c r="H255" s="124"/>
    </row>
    <row r="256" spans="1:31" ht="15.6" hidden="1" outlineLevel="1" x14ac:dyDescent="0.3">
      <c r="A256" s="145"/>
      <c r="B256" s="134"/>
      <c r="C256" s="5"/>
    </row>
    <row r="257" spans="1:31" ht="16.2" hidden="1" outlineLevel="1" thickBot="1" x14ac:dyDescent="0.35">
      <c r="A257" s="145"/>
      <c r="B257" s="134"/>
      <c r="C257" s="5"/>
      <c r="X257" s="661" t="s">
        <v>254</v>
      </c>
      <c r="Y257" s="661"/>
      <c r="Z257" s="661"/>
      <c r="AA257" s="661"/>
      <c r="AB257" s="661"/>
      <c r="AC257" s="661"/>
      <c r="AD257" s="661"/>
      <c r="AE257" s="661"/>
    </row>
    <row r="258" spans="1:31" ht="15" customHeight="1" collapsed="1" thickTop="1" thickBot="1" x14ac:dyDescent="0.45">
      <c r="A258" s="286" t="s">
        <v>396</v>
      </c>
      <c r="B258" s="287">
        <v>9</v>
      </c>
      <c r="X258" s="147" t="s">
        <v>115</v>
      </c>
      <c r="Y258" s="147" t="s">
        <v>232</v>
      </c>
      <c r="Z258" s="147" t="s">
        <v>233</v>
      </c>
      <c r="AA258" s="163" t="s">
        <v>149</v>
      </c>
      <c r="AB258" s="147" t="s">
        <v>234</v>
      </c>
      <c r="AC258" s="147" t="s">
        <v>235</v>
      </c>
      <c r="AD258" s="148" t="s">
        <v>236</v>
      </c>
      <c r="AE258" s="147" t="s">
        <v>237</v>
      </c>
    </row>
    <row r="259" spans="1:31" ht="15" hidden="1" customHeight="1" outlineLevel="1" thickTop="1" x14ac:dyDescent="0.3">
      <c r="A259" s="134" t="s">
        <v>358</v>
      </c>
      <c r="B259" s="279" t="s">
        <v>365</v>
      </c>
      <c r="C259" s="5"/>
      <c r="X259" s="161"/>
      <c r="Y259" s="191" t="s">
        <v>15</v>
      </c>
      <c r="Z259" s="191" t="s">
        <v>5</v>
      </c>
      <c r="AA259" s="191" t="s">
        <v>238</v>
      </c>
      <c r="AB259" s="191" t="s">
        <v>239</v>
      </c>
      <c r="AC259" s="195" t="s">
        <v>16</v>
      </c>
      <c r="AD259" s="196" t="s">
        <v>8</v>
      </c>
      <c r="AE259" s="191"/>
    </row>
    <row r="260" spans="1:31" ht="15" hidden="1" customHeight="1" outlineLevel="1" x14ac:dyDescent="0.3">
      <c r="A260" s="5" t="s">
        <v>376</v>
      </c>
      <c r="B260" s="279" t="e">
        <f>INDEX($L$3:$L$12, B258)</f>
        <v>#N/A</v>
      </c>
      <c r="C260" s="5"/>
      <c r="X260" s="162">
        <v>1</v>
      </c>
      <c r="Y260" s="162" t="str">
        <f>B273</f>
        <v>Фасад, Рамочный узкий профиль</v>
      </c>
      <c r="Z260" s="166" t="e">
        <f>D273</f>
        <v>#N/A</v>
      </c>
      <c r="AA260" s="192">
        <f>ROUNDUP(F273/5400*1.1*AD260, 2)</f>
        <v>0</v>
      </c>
      <c r="AB260" s="194"/>
      <c r="AC260" s="162" t="str">
        <f>B261&amp;"мм-"&amp;B263&amp;"шт"</f>
        <v>0мм-0шт</v>
      </c>
      <c r="AD260" s="310">
        <f>B263</f>
        <v>0</v>
      </c>
      <c r="AE260" s="197" t="s">
        <v>240</v>
      </c>
    </row>
    <row r="261" spans="1:31" ht="15" hidden="1" customHeight="1" outlineLevel="1" x14ac:dyDescent="0.3">
      <c r="A261" s="5" t="s">
        <v>4</v>
      </c>
      <c r="B261" s="279">
        <f>INDEX($R$3:$R$12, B258)</f>
        <v>0</v>
      </c>
      <c r="C261" s="5"/>
      <c r="X261" s="162">
        <v>2</v>
      </c>
      <c r="Y261" s="162" t="str">
        <f>B274</f>
        <v>Фасад, Рамочный узкий профиль</v>
      </c>
      <c r="Z261" s="166" t="e">
        <f>D274</f>
        <v>#N/A</v>
      </c>
      <c r="AA261" s="192">
        <f>ROUNDUP(F274/5400*1.1*AD261, 2)</f>
        <v>0</v>
      </c>
      <c r="AB261" s="162"/>
      <c r="AC261" s="162" t="str">
        <f>B262&amp;"мм-"&amp;B263&amp;"шт"</f>
        <v>0мм-0шт</v>
      </c>
      <c r="AD261" s="310">
        <f>B263</f>
        <v>0</v>
      </c>
      <c r="AE261" s="197" t="s">
        <v>240</v>
      </c>
    </row>
    <row r="262" spans="1:31" ht="15" hidden="1" customHeight="1" outlineLevel="1" x14ac:dyDescent="0.3">
      <c r="A262" s="5" t="s">
        <v>1</v>
      </c>
      <c r="B262" s="279">
        <f>INDEX($S$3:$S$12, B258)</f>
        <v>0</v>
      </c>
      <c r="D262" s="134"/>
      <c r="E262" s="124"/>
      <c r="F262" s="124"/>
      <c r="G262" s="124"/>
      <c r="X262" s="162">
        <v>3</v>
      </c>
      <c r="Y262" s="164" t="str">
        <f>B275</f>
        <v>Фасад, Рамочный узкий профиль</v>
      </c>
      <c r="Z262" s="193" t="e">
        <f>D275</f>
        <v>#N/A</v>
      </c>
      <c r="AA262" s="192">
        <f>ROUNDUP(F275/5400*1.1*AD262, 2)</f>
        <v>0</v>
      </c>
      <c r="AB262" s="164"/>
      <c r="AC262" s="162" t="str">
        <f>B261&amp;"мм-"&amp;B263&amp;"шт"</f>
        <v>0мм-0шт</v>
      </c>
      <c r="AD262" s="310">
        <f>B263</f>
        <v>0</v>
      </c>
      <c r="AE262" s="197" t="s">
        <v>240</v>
      </c>
    </row>
    <row r="263" spans="1:31" ht="15" hidden="1" customHeight="1" outlineLevel="1" x14ac:dyDescent="0.3">
      <c r="A263" s="39" t="s">
        <v>72</v>
      </c>
      <c r="B263" s="280">
        <f>INDEX($T$3:$T$12, B258)</f>
        <v>0</v>
      </c>
      <c r="C263" s="40"/>
      <c r="D263" s="40"/>
      <c r="E263" s="40"/>
      <c r="F263" s="271"/>
      <c r="G263" s="271"/>
      <c r="X263" s="162">
        <v>4</v>
      </c>
      <c r="Y263" s="164" t="str">
        <f>B276</f>
        <v>Фасад, Рамочный узкий профиль</v>
      </c>
      <c r="Z263" s="193" t="e">
        <f>D276</f>
        <v>#N/A</v>
      </c>
      <c r="AA263" s="192">
        <f>ROUNDUP(F276/5400*1.1*AD263, 2)</f>
        <v>0</v>
      </c>
      <c r="AB263" s="194"/>
      <c r="AC263" s="162" t="str">
        <f>B262&amp;"мм-"&amp;B263&amp;"шт"</f>
        <v>0мм-0шт</v>
      </c>
      <c r="AD263" s="310">
        <f>B263</f>
        <v>0</v>
      </c>
      <c r="AE263" s="197" t="s">
        <v>240</v>
      </c>
    </row>
    <row r="264" spans="1:31" ht="15" hidden="1" customHeight="1" outlineLevel="1" x14ac:dyDescent="0.3">
      <c r="A264" s="39" t="s">
        <v>360</v>
      </c>
      <c r="B264" s="269">
        <f>INDEX($M$3:$M$12, B258)</f>
        <v>0</v>
      </c>
      <c r="F264" s="124"/>
      <c r="G264" s="124"/>
      <c r="X264" s="162">
        <v>5</v>
      </c>
      <c r="Y264" s="164">
        <f>B264</f>
        <v>0</v>
      </c>
      <c r="Z264" s="164" t="str">
        <f>B265</f>
        <v>.</v>
      </c>
      <c r="AA264" s="309">
        <f>B263</f>
        <v>0</v>
      </c>
      <c r="AB264" s="164" t="str">
        <f>CONCATENATE("В ",B267,", ","Ш ",B268)</f>
        <v>В -6, Ш -6</v>
      </c>
      <c r="AC264" s="164"/>
      <c r="AD264" s="310">
        <f>B263</f>
        <v>0</v>
      </c>
      <c r="AE264" s="197" t="s">
        <v>278</v>
      </c>
    </row>
    <row r="265" spans="1:31" ht="15" hidden="1" customHeight="1" outlineLevel="1" x14ac:dyDescent="0.3">
      <c r="A265" s="39" t="s">
        <v>381</v>
      </c>
      <c r="B265" s="269" t="str">
        <f>IFERROR(INDEX($N$3:$N$12, B258),0)</f>
        <v>.</v>
      </c>
      <c r="F265" s="124"/>
      <c r="G265" s="124"/>
      <c r="X265" s="162">
        <v>6</v>
      </c>
      <c r="Y265" s="164" t="s">
        <v>242</v>
      </c>
      <c r="Z265" s="167" t="s">
        <v>243</v>
      </c>
      <c r="AA265" s="164">
        <f>IF(B261&gt;550,2*AD265,1*AD265)</f>
        <v>0</v>
      </c>
      <c r="AB265" s="164"/>
      <c r="AC265" s="164"/>
      <c r="AD265" s="310">
        <f>B263</f>
        <v>0</v>
      </c>
      <c r="AE265" s="197" t="s">
        <v>240</v>
      </c>
    </row>
    <row r="266" spans="1:31" ht="15" hidden="1" customHeight="1" outlineLevel="1" x14ac:dyDescent="0.3">
      <c r="A266" s="39" t="s">
        <v>398</v>
      </c>
      <c r="B266" s="281">
        <f>IFERROR(IF(B265=".", 0, VLOOKUP(B265, Ред!$B:$F, 4, 0)),0)</f>
        <v>0</v>
      </c>
      <c r="F266" s="124"/>
      <c r="G266" s="124"/>
      <c r="H266" s="124"/>
      <c r="X266" s="162">
        <v>7</v>
      </c>
      <c r="Y266" s="164" t="s">
        <v>244</v>
      </c>
      <c r="Z266" s="167" t="s">
        <v>245</v>
      </c>
      <c r="AA266" s="164">
        <f>(B261+B262)*2/1000*AD266</f>
        <v>0</v>
      </c>
      <c r="AB266" s="164"/>
      <c r="AC266" s="164"/>
      <c r="AD266" s="310">
        <f>B263</f>
        <v>0</v>
      </c>
      <c r="AE266" s="197" t="s">
        <v>240</v>
      </c>
    </row>
    <row r="267" spans="1:31" s="40" customFormat="1" ht="15" hidden="1" customHeight="1" outlineLevel="1" x14ac:dyDescent="0.3">
      <c r="A267" s="39" t="s">
        <v>399</v>
      </c>
      <c r="B267" s="282">
        <f>B261-6</f>
        <v>-6</v>
      </c>
      <c r="C267" s="39"/>
      <c r="D267" s="39"/>
      <c r="E267" s="39"/>
      <c r="F267" s="124"/>
      <c r="G267" s="124"/>
      <c r="X267" s="162">
        <v>8</v>
      </c>
      <c r="Y267" s="165" t="s">
        <v>246</v>
      </c>
      <c r="Z267" s="167" t="s">
        <v>247</v>
      </c>
      <c r="AA267" s="164">
        <f>0.02*AD267</f>
        <v>0</v>
      </c>
      <c r="AB267" s="164"/>
      <c r="AC267" s="164"/>
      <c r="AD267" s="310">
        <f>B263</f>
        <v>0</v>
      </c>
      <c r="AE267" s="197" t="s">
        <v>240</v>
      </c>
    </row>
    <row r="268" spans="1:31" ht="15" hidden="1" customHeight="1" outlineLevel="1" x14ac:dyDescent="0.3">
      <c r="A268" s="39" t="s">
        <v>400</v>
      </c>
      <c r="B268" s="282">
        <f>B262-6</f>
        <v>-6</v>
      </c>
      <c r="C268" s="5"/>
      <c r="D268" s="124"/>
      <c r="E268" s="124"/>
      <c r="F268" s="124"/>
      <c r="G268" s="124"/>
      <c r="H268" s="124"/>
      <c r="X268" s="162">
        <v>9</v>
      </c>
      <c r="Y268" s="164" t="s">
        <v>475</v>
      </c>
      <c r="Z268" s="167" t="s">
        <v>474</v>
      </c>
      <c r="AA268" s="193">
        <f>(((B262*2)/1000)+0.5)/66*B263</f>
        <v>0</v>
      </c>
      <c r="AB268" s="164"/>
      <c r="AC268" s="164"/>
      <c r="AD268" s="310">
        <f>B263</f>
        <v>0</v>
      </c>
      <c r="AE268" s="197" t="s">
        <v>240</v>
      </c>
    </row>
    <row r="269" spans="1:31" ht="15" hidden="1" customHeight="1" outlineLevel="1" x14ac:dyDescent="0.3">
      <c r="A269" s="39" t="s">
        <v>401</v>
      </c>
      <c r="B269" s="283">
        <f>B267*B268/1000000</f>
        <v>3.6000000000000001E-5</v>
      </c>
      <c r="C269" s="5"/>
      <c r="D269" s="124"/>
      <c r="E269" s="124"/>
      <c r="F269" s="124"/>
      <c r="G269" s="124"/>
      <c r="H269" s="124"/>
      <c r="X269" s="162">
        <v>10</v>
      </c>
      <c r="Y269" s="164" t="s">
        <v>248</v>
      </c>
      <c r="Z269" s="167" t="s">
        <v>249</v>
      </c>
      <c r="AA269" s="193">
        <f>((B262*8/1000)+0.5)/45*B263</f>
        <v>0</v>
      </c>
      <c r="AB269" s="164"/>
      <c r="AC269" s="164"/>
      <c r="AD269" s="310">
        <f>B263</f>
        <v>0</v>
      </c>
      <c r="AE269" s="197" t="s">
        <v>240</v>
      </c>
    </row>
    <row r="270" spans="1:31" ht="15" hidden="1" customHeight="1" outlineLevel="1" x14ac:dyDescent="0.3">
      <c r="A270" s="145" t="s">
        <v>402</v>
      </c>
      <c r="B270" s="284">
        <f>B266*B269*B263</f>
        <v>0</v>
      </c>
      <c r="H270" s="124"/>
      <c r="X270" s="188">
        <v>11</v>
      </c>
      <c r="Y270" s="189" t="s">
        <v>250</v>
      </c>
      <c r="Z270" s="190" t="s">
        <v>251</v>
      </c>
      <c r="AA270" s="189">
        <f>((B262*4/1000)+1)</f>
        <v>1</v>
      </c>
      <c r="AB270" s="189"/>
      <c r="AC270" s="189"/>
      <c r="AD270" s="311">
        <f>B263</f>
        <v>0</v>
      </c>
      <c r="AE270" s="197" t="s">
        <v>240</v>
      </c>
    </row>
    <row r="271" spans="1:31" ht="15" hidden="1" customHeight="1" outlineLevel="1" x14ac:dyDescent="0.3">
      <c r="A271" s="39" t="s">
        <v>576</v>
      </c>
      <c r="B271" s="356">
        <f>IFERROR(IF(D271,(B267+B268)/1000*2*F271*B263,0),0)</f>
        <v>0</v>
      </c>
      <c r="C271" s="39" t="s">
        <v>574</v>
      </c>
      <c r="D271" s="39">
        <f>IFERROR(INDEX(Вставки[Обработка],MATCH(B265,Вставки[арт],0)) = 1,0)</f>
        <v>0</v>
      </c>
      <c r="E271" s="39" t="s">
        <v>6</v>
      </c>
      <c r="F271" s="356">
        <f>Ред!$E$33</f>
        <v>520.27052307692293</v>
      </c>
      <c r="H271" s="124"/>
      <c r="X271" s="189">
        <v>12</v>
      </c>
      <c r="Y271" s="189" t="s">
        <v>279</v>
      </c>
      <c r="Z271" s="167" t="s">
        <v>280</v>
      </c>
      <c r="AA271" s="189">
        <v>1</v>
      </c>
      <c r="AB271" s="164"/>
      <c r="AC271" s="189"/>
      <c r="AD271" s="310">
        <v>1</v>
      </c>
      <c r="AE271" s="256" t="s">
        <v>240</v>
      </c>
    </row>
    <row r="272" spans="1:31" ht="15" hidden="1" customHeight="1" outlineLevel="1" x14ac:dyDescent="0.3">
      <c r="A272" s="5"/>
      <c r="B272" s="288" t="s">
        <v>15</v>
      </c>
      <c r="C272" s="289" t="s">
        <v>371</v>
      </c>
      <c r="D272" s="290" t="s">
        <v>5</v>
      </c>
      <c r="E272" s="290" t="s">
        <v>3</v>
      </c>
      <c r="F272" s="291" t="s">
        <v>380</v>
      </c>
      <c r="G272" s="291" t="s">
        <v>7</v>
      </c>
      <c r="H272" s="124"/>
      <c r="X272" s="162">
        <v>13</v>
      </c>
      <c r="Y272" s="49" t="e">
        <f>INDEX(Ред!$A:$A,MATCH(Z272,Ред!B:B,0))</f>
        <v>#N/A</v>
      </c>
      <c r="Z272" s="386">
        <f>B281</f>
        <v>0</v>
      </c>
      <c r="AA272" s="50">
        <f>D281</f>
        <v>0</v>
      </c>
      <c r="AB272" s="164"/>
      <c r="AC272" s="164"/>
      <c r="AD272" s="310">
        <f>AA272</f>
        <v>0</v>
      </c>
      <c r="AE272" s="164" t="s">
        <v>241</v>
      </c>
    </row>
    <row r="273" spans="1:31" ht="15" hidden="1" customHeight="1" outlineLevel="1" x14ac:dyDescent="0.3">
      <c r="A273" s="292" t="s">
        <v>104</v>
      </c>
      <c r="B273" s="49" t="str">
        <f>INDEX(ПрофилиMAXАрт[полноенаим],MATCH(B259&amp;C273,ПрофилиMAXАрт[поиск],0))</f>
        <v>Фасад, Рамочный узкий профиль</v>
      </c>
      <c r="C273" s="21" t="str">
        <f>IF(A273=INDEX($P$3:$P$12, B258), "Да", "Нет")</f>
        <v>Нет</v>
      </c>
      <c r="D273" s="48" t="e">
        <f>INDEX(ПрофилиMAXАрт[], MATCH(B273, ПрофилиMAXАрт[полноенаим], 0), MATCH(B260, ПрофилиMAXАрт[#Headers], 0))</f>
        <v>#N/A</v>
      </c>
      <c r="E273" s="293" t="e">
        <f>VLOOKUP(D273, Ред!$B:$F, 4, 0)</f>
        <v>#N/A</v>
      </c>
      <c r="F273" s="48">
        <f>B261+IF(C273="Да", 200, 100)</f>
        <v>100</v>
      </c>
      <c r="G273" s="293" t="e">
        <f>E273/5400*F273*B263</f>
        <v>#N/A</v>
      </c>
      <c r="H273" s="124"/>
      <c r="X273" s="164">
        <v>14</v>
      </c>
      <c r="Y273" s="164" t="e">
        <f>INDEX(Ред!$A:$A,MATCH(Z273,Ред!B:B,0))</f>
        <v>#N/A</v>
      </c>
      <c r="Z273" s="386">
        <f>B282</f>
        <v>0</v>
      </c>
      <c r="AA273" s="164">
        <f>ROUNDUP(D282/2.6,1)</f>
        <v>0</v>
      </c>
      <c r="AB273" s="164"/>
      <c r="AC273" s="164"/>
      <c r="AD273" s="310">
        <f>B263</f>
        <v>0</v>
      </c>
      <c r="AE273" s="164" t="s">
        <v>240</v>
      </c>
    </row>
    <row r="274" spans="1:31" ht="15" hidden="1" customHeight="1" outlineLevel="1" x14ac:dyDescent="0.3">
      <c r="A274" s="292" t="s">
        <v>210</v>
      </c>
      <c r="B274" s="49" t="str">
        <f>INDEX(ПрофилиMAXАрт[полноенаим],MATCH(B259&amp;C274,ПрофилиMAXАрт[поиск],0))</f>
        <v>Фасад, Рамочный узкий профиль</v>
      </c>
      <c r="C274" s="21" t="str">
        <f>IF(A274=INDEX($P$3:$P$12, B258), "Да", "Нет")</f>
        <v>Нет</v>
      </c>
      <c r="D274" s="48" t="e">
        <f>INDEX(ПрофилиMAXАрт[], MATCH(B274, ПрофилиMAXАрт[полноенаим], 0), MATCH(B260, ПрофилиMAXАрт[#Headers], 0))</f>
        <v>#N/A</v>
      </c>
      <c r="E274" s="293" t="e">
        <f>VLOOKUP(D274, Ред!$B:$F, 4, 0)</f>
        <v>#N/A</v>
      </c>
      <c r="F274" s="48">
        <f>B262+IF(C274="Да", 200, 100)</f>
        <v>100</v>
      </c>
      <c r="G274" s="293" t="e">
        <f>E274/5400*F274*B263</f>
        <v>#N/A</v>
      </c>
      <c r="H274" s="124"/>
      <c r="X274" s="164">
        <v>15</v>
      </c>
      <c r="Y274" s="164" t="e">
        <f>INDEX(Ред!$A:$A,MATCH(Z274,Ред!B:B,0))</f>
        <v>#N/A</v>
      </c>
      <c r="Z274" s="386">
        <f>B280</f>
        <v>0</v>
      </c>
      <c r="AA274" s="309">
        <f>D280</f>
        <v>0</v>
      </c>
      <c r="AB274" s="164"/>
      <c r="AC274" s="164"/>
      <c r="AD274" s="310">
        <f>B263</f>
        <v>0</v>
      </c>
      <c r="AE274" s="164" t="s">
        <v>241</v>
      </c>
    </row>
    <row r="275" spans="1:31" ht="15" hidden="1" customHeight="1" outlineLevel="1" x14ac:dyDescent="0.3">
      <c r="A275" s="292" t="s">
        <v>230</v>
      </c>
      <c r="B275" s="49" t="str">
        <f>INDEX(ПрофилиMAXАрт[полноенаим],MATCH(B259&amp;C275,ПрофилиMAXАрт[поиск],0))</f>
        <v>Фасад, Рамочный узкий профиль</v>
      </c>
      <c r="C275" s="21" t="str">
        <f>IF(A275=INDEX($P$3:$P$12, B258), "Да", "Нет")</f>
        <v>Нет</v>
      </c>
      <c r="D275" s="48" t="e">
        <f>INDEX(ПрофилиMAXАрт[], MATCH(B275, ПрофилиMAXАрт[полноенаим], 0), MATCH(B260, ПрофилиMAXАрт[#Headers], 0))</f>
        <v>#N/A</v>
      </c>
      <c r="E275" s="293" t="e">
        <f>VLOOKUP(D275, Ред!$B:$F, 4, 0)</f>
        <v>#N/A</v>
      </c>
      <c r="F275" s="48">
        <f>B261+IF(C275="Да", 200, 100)</f>
        <v>100</v>
      </c>
      <c r="G275" s="293" t="e">
        <f>E275/5400*F275*B263</f>
        <v>#N/A</v>
      </c>
      <c r="H275" s="124"/>
    </row>
    <row r="276" spans="1:31" ht="15" hidden="1" customHeight="1" outlineLevel="1" x14ac:dyDescent="0.3">
      <c r="A276" s="292" t="s">
        <v>211</v>
      </c>
      <c r="B276" s="49" t="str">
        <f>INDEX(ПрофилиMAXАрт[полноенаим],MATCH(B259&amp;C276,ПрофилиMAXАрт[поиск],0))</f>
        <v>Фасад, Рамочный узкий профиль</v>
      </c>
      <c r="C276" s="21" t="str">
        <f>IF(A276=INDEX($P$3:$P$12, B258), "Да", "Нет")</f>
        <v>Нет</v>
      </c>
      <c r="D276" s="48" t="e">
        <f>INDEX(ПрофилиMAXАрт[], MATCH(B276, ПрофилиMAXАрт[полноенаим], 0), MATCH(B260, ПрофилиMAXАрт[#Headers], 0))</f>
        <v>#N/A</v>
      </c>
      <c r="E276" s="293" t="e">
        <f>VLOOKUP(D276, Ред!$B:$F, 4, 0)</f>
        <v>#N/A</v>
      </c>
      <c r="F276" s="48">
        <f>B262+IF(C276="Да", 200, 100)</f>
        <v>100</v>
      </c>
      <c r="G276" s="293" t="e">
        <f>E276/5400*F276*B263</f>
        <v>#N/A</v>
      </c>
      <c r="H276" s="124"/>
    </row>
    <row r="277" spans="1:31" ht="15" hidden="1" customHeight="1" outlineLevel="1" x14ac:dyDescent="0.3">
      <c r="H277" s="124"/>
    </row>
    <row r="278" spans="1:31" ht="15" hidden="1" customHeight="1" outlineLevel="1" thickBot="1" x14ac:dyDescent="0.35">
      <c r="A278" s="297" t="s">
        <v>676</v>
      </c>
      <c r="B278" s="298" t="s">
        <v>389</v>
      </c>
      <c r="C278" s="299">
        <f>INDEX($Q$3:$Q$12, B258)</f>
        <v>0</v>
      </c>
      <c r="H278" s="124"/>
    </row>
    <row r="279" spans="1:31" ht="15" hidden="1" customHeight="1" outlineLevel="1" x14ac:dyDescent="0.3">
      <c r="B279" s="296" t="s">
        <v>390</v>
      </c>
      <c r="C279" s="19" t="s">
        <v>6</v>
      </c>
      <c r="D279" s="48" t="s">
        <v>379</v>
      </c>
      <c r="E279" s="48" t="s">
        <v>270</v>
      </c>
      <c r="F279" s="124"/>
      <c r="G279" s="124"/>
      <c r="H279" s="124"/>
    </row>
    <row r="280" spans="1:31" ht="15" hidden="1" customHeight="1" outlineLevel="1" x14ac:dyDescent="0.3">
      <c r="A280" s="294" t="s">
        <v>382</v>
      </c>
      <c r="B280" s="295">
        <f>IFERROR(INDEX(ФурнитураMAX[Петли], MATCH(C278,ФурнитураMAX[Цвет петель], 0)),0)</f>
        <v>0</v>
      </c>
      <c r="C280" s="293">
        <f>IFERROR(VLOOKUP(B280, Ред!$B:$F, 4, 0),0)</f>
        <v>0</v>
      </c>
      <c r="D280" s="50">
        <f>IF(INDEX($U$3:$U$12, B258)=0, 0, B263)</f>
        <v>0</v>
      </c>
      <c r="E280" s="48">
        <f>C280*D280</f>
        <v>0</v>
      </c>
      <c r="F280" s="124"/>
      <c r="G280" s="124"/>
      <c r="H280" s="124"/>
    </row>
    <row r="281" spans="1:31" ht="15" hidden="1" customHeight="1" outlineLevel="1" x14ac:dyDescent="0.3">
      <c r="A281" s="294" t="s">
        <v>383</v>
      </c>
      <c r="B281" s="295">
        <f>IFERROR(INDEX(ФурнитураMAX[Уголок], MATCH(C278,ФурнитураMAX[Цвет петель], 0)),0)</f>
        <v>0</v>
      </c>
      <c r="C281" s="293">
        <f>IFERROR(IF(B281="Нет", 0, VLOOKUP(B281, Ред!$B:$F, 4, 0)),0)</f>
        <v>0</v>
      </c>
      <c r="D281" s="50">
        <f>B263</f>
        <v>0</v>
      </c>
      <c r="E281" s="48">
        <f>C281*D281</f>
        <v>0</v>
      </c>
      <c r="H281" s="124"/>
    </row>
    <row r="282" spans="1:31" ht="15" hidden="1" customHeight="1" outlineLevel="1" x14ac:dyDescent="0.3">
      <c r="A282" s="294" t="s">
        <v>384</v>
      </c>
      <c r="B282" s="295">
        <f>IFERROR(INDEX(ФурнитураMAX[Уплотнитель], MATCH(C278,ФурнитураMAX[Цвет петель], 0)),0)</f>
        <v>0</v>
      </c>
      <c r="C282" s="293">
        <f>IFERROR(VLOOKUP(B282, Ред!$B:$F, 4, 0)/3,0)</f>
        <v>0</v>
      </c>
      <c r="D282" s="49">
        <f>CEILING((B261+B262)*2*B263/1000,1)</f>
        <v>0</v>
      </c>
      <c r="E282" s="48">
        <f>C282*D282</f>
        <v>0</v>
      </c>
      <c r="H282" s="124"/>
    </row>
    <row r="283" spans="1:31" ht="15" hidden="1" customHeight="1" outlineLevel="1" x14ac:dyDescent="0.3">
      <c r="A283" s="70" t="s">
        <v>97</v>
      </c>
      <c r="B283" s="300"/>
      <c r="C283" s="71"/>
      <c r="D283" s="301"/>
      <c r="E283" s="71">
        <v>413</v>
      </c>
      <c r="F283" s="124"/>
      <c r="G283" s="124"/>
      <c r="H283" s="124"/>
    </row>
    <row r="284" spans="1:31" ht="15" hidden="1" customHeight="1" outlineLevel="1" x14ac:dyDescent="0.3">
      <c r="A284" s="70" t="s">
        <v>98</v>
      </c>
      <c r="B284" s="71"/>
      <c r="C284" s="71"/>
      <c r="D284" s="71"/>
      <c r="E284" s="71">
        <v>413</v>
      </c>
      <c r="H284" s="124"/>
    </row>
    <row r="285" spans="1:31" ht="15" hidden="1" customHeight="1" outlineLevel="1" x14ac:dyDescent="0.3"/>
    <row r="286" spans="1:31" ht="15" hidden="1" customHeight="1" outlineLevel="1" thickBot="1" x14ac:dyDescent="0.35">
      <c r="A286" s="302" t="s">
        <v>395</v>
      </c>
      <c r="B286" s="285" t="e">
        <f>SUM(B270, B271, G273:G276, E280:E284)</f>
        <v>#N/A</v>
      </c>
      <c r="C286" s="385" t="e">
        <f>SUM(B270:B271, G273:G276, E282:E284)</f>
        <v>#N/A</v>
      </c>
      <c r="F286" s="278"/>
    </row>
    <row r="287" spans="1:31" ht="15" hidden="1" customHeight="1" outlineLevel="1" thickTop="1" x14ac:dyDescent="0.3">
      <c r="A287" s="145"/>
      <c r="B287" s="134"/>
      <c r="D287" s="124"/>
      <c r="E287" s="124"/>
      <c r="F287" s="124"/>
      <c r="G287" s="124"/>
      <c r="H287" s="124"/>
    </row>
    <row r="288" spans="1:31" ht="15.6" hidden="1" outlineLevel="1" x14ac:dyDescent="0.3">
      <c r="A288" s="145"/>
      <c r="B288" s="134"/>
      <c r="C288" s="5"/>
    </row>
    <row r="289" spans="1:31" ht="16.2" hidden="1" outlineLevel="1" thickBot="1" x14ac:dyDescent="0.35">
      <c r="A289" s="145"/>
      <c r="B289" s="134"/>
      <c r="C289" s="5"/>
      <c r="X289" s="661" t="s">
        <v>253</v>
      </c>
      <c r="Y289" s="661"/>
      <c r="Z289" s="661"/>
      <c r="AA289" s="661"/>
      <c r="AB289" s="661"/>
      <c r="AC289" s="661"/>
      <c r="AD289" s="661"/>
      <c r="AE289" s="661"/>
    </row>
    <row r="290" spans="1:31" ht="15" customHeight="1" collapsed="1" thickTop="1" thickBot="1" x14ac:dyDescent="0.45">
      <c r="A290" s="286" t="s">
        <v>396</v>
      </c>
      <c r="B290" s="287">
        <v>10</v>
      </c>
      <c r="X290" s="147" t="s">
        <v>115</v>
      </c>
      <c r="Y290" s="147" t="s">
        <v>232</v>
      </c>
      <c r="Z290" s="147" t="s">
        <v>233</v>
      </c>
      <c r="AA290" s="163" t="s">
        <v>149</v>
      </c>
      <c r="AB290" s="147" t="s">
        <v>234</v>
      </c>
      <c r="AC290" s="147" t="s">
        <v>235</v>
      </c>
      <c r="AD290" s="148" t="s">
        <v>236</v>
      </c>
      <c r="AE290" s="147" t="s">
        <v>237</v>
      </c>
    </row>
    <row r="291" spans="1:31" ht="15" hidden="1" customHeight="1" outlineLevel="1" thickTop="1" x14ac:dyDescent="0.3">
      <c r="A291" s="134" t="s">
        <v>358</v>
      </c>
      <c r="B291" s="279" t="s">
        <v>365</v>
      </c>
      <c r="C291" s="5"/>
      <c r="X291" s="161"/>
      <c r="Y291" s="191" t="s">
        <v>15</v>
      </c>
      <c r="Z291" s="191" t="s">
        <v>5</v>
      </c>
      <c r="AA291" s="191" t="s">
        <v>238</v>
      </c>
      <c r="AB291" s="191" t="s">
        <v>239</v>
      </c>
      <c r="AC291" s="195" t="s">
        <v>16</v>
      </c>
      <c r="AD291" s="196" t="s">
        <v>8</v>
      </c>
      <c r="AE291" s="191"/>
    </row>
    <row r="292" spans="1:31" ht="15" hidden="1" customHeight="1" outlineLevel="1" x14ac:dyDescent="0.3">
      <c r="A292" s="5" t="s">
        <v>376</v>
      </c>
      <c r="B292" s="279" t="e">
        <f>INDEX($L$3:$L$12, B290)</f>
        <v>#N/A</v>
      </c>
      <c r="C292" s="5"/>
      <c r="X292" s="162">
        <v>1</v>
      </c>
      <c r="Y292" s="162" t="str">
        <f>B305</f>
        <v>Фасад, Рамочный узкий профиль</v>
      </c>
      <c r="Z292" s="166" t="e">
        <f>D305</f>
        <v>#N/A</v>
      </c>
      <c r="AA292" s="192">
        <f>ROUNDUP(F305/5400*1.1*AD292, 2)</f>
        <v>0</v>
      </c>
      <c r="AB292" s="194"/>
      <c r="AC292" s="162" t="str">
        <f>B293&amp;"мм-"&amp;B295&amp;"шт"</f>
        <v>0мм-0шт</v>
      </c>
      <c r="AD292" s="310">
        <f>B295</f>
        <v>0</v>
      </c>
      <c r="AE292" s="197" t="s">
        <v>240</v>
      </c>
    </row>
    <row r="293" spans="1:31" ht="15" hidden="1" customHeight="1" outlineLevel="1" x14ac:dyDescent="0.3">
      <c r="A293" s="5" t="s">
        <v>4</v>
      </c>
      <c r="B293" s="279">
        <f>INDEX($R$3:$R$12, B290)</f>
        <v>0</v>
      </c>
      <c r="C293" s="5"/>
      <c r="X293" s="162">
        <v>2</v>
      </c>
      <c r="Y293" s="162" t="str">
        <f>B306</f>
        <v>Фасад, Рамочный узкий профиль</v>
      </c>
      <c r="Z293" s="166" t="e">
        <f>D306</f>
        <v>#N/A</v>
      </c>
      <c r="AA293" s="192">
        <f>ROUNDUP(F306/5400*1.1*AD293, 2)</f>
        <v>0</v>
      </c>
      <c r="AB293" s="162"/>
      <c r="AC293" s="162" t="str">
        <f>B294&amp;"мм-"&amp;B295&amp;"шт"</f>
        <v>0мм-0шт</v>
      </c>
      <c r="AD293" s="310">
        <f>B295</f>
        <v>0</v>
      </c>
      <c r="AE293" s="197" t="s">
        <v>240</v>
      </c>
    </row>
    <row r="294" spans="1:31" ht="15" hidden="1" customHeight="1" outlineLevel="1" x14ac:dyDescent="0.3">
      <c r="A294" s="5" t="s">
        <v>1</v>
      </c>
      <c r="B294" s="279">
        <f>INDEX($S$3:$S$12, B290)</f>
        <v>0</v>
      </c>
      <c r="D294" s="134"/>
      <c r="E294" s="124"/>
      <c r="F294" s="124"/>
      <c r="G294" s="124"/>
      <c r="X294" s="162">
        <v>3</v>
      </c>
      <c r="Y294" s="164" t="str">
        <f>B307</f>
        <v>Фасад, Рамочный узкий профиль</v>
      </c>
      <c r="Z294" s="193" t="e">
        <f>D307</f>
        <v>#N/A</v>
      </c>
      <c r="AA294" s="192">
        <f>ROUNDUP(F307/5400*1.1*AD294, 2)</f>
        <v>0</v>
      </c>
      <c r="AB294" s="164"/>
      <c r="AC294" s="162" t="str">
        <f>B293&amp;"мм-"&amp;B295&amp;"шт"</f>
        <v>0мм-0шт</v>
      </c>
      <c r="AD294" s="310">
        <f>B295</f>
        <v>0</v>
      </c>
      <c r="AE294" s="197" t="s">
        <v>240</v>
      </c>
    </row>
    <row r="295" spans="1:31" ht="15" hidden="1" customHeight="1" outlineLevel="1" x14ac:dyDescent="0.3">
      <c r="A295" s="39" t="s">
        <v>72</v>
      </c>
      <c r="B295" s="280">
        <f>INDEX($T$3:$T$12, B290)</f>
        <v>0</v>
      </c>
      <c r="C295" s="40"/>
      <c r="D295" s="40"/>
      <c r="E295" s="40"/>
      <c r="F295" s="271"/>
      <c r="G295" s="271"/>
      <c r="X295" s="162">
        <v>4</v>
      </c>
      <c r="Y295" s="164" t="str">
        <f>B308</f>
        <v>Фасад, Рамочный узкий профиль</v>
      </c>
      <c r="Z295" s="193" t="e">
        <f>D308</f>
        <v>#N/A</v>
      </c>
      <c r="AA295" s="192">
        <f>ROUNDUP(F308/5400*1.1*AD295, 2)</f>
        <v>0</v>
      </c>
      <c r="AB295" s="194"/>
      <c r="AC295" s="162" t="str">
        <f>B294&amp;"мм-"&amp;B295&amp;"шт"</f>
        <v>0мм-0шт</v>
      </c>
      <c r="AD295" s="310">
        <f>B295</f>
        <v>0</v>
      </c>
      <c r="AE295" s="197" t="s">
        <v>240</v>
      </c>
    </row>
    <row r="296" spans="1:31" ht="15" hidden="1" customHeight="1" outlineLevel="1" x14ac:dyDescent="0.3">
      <c r="A296" s="39" t="s">
        <v>360</v>
      </c>
      <c r="B296" s="269">
        <f>INDEX($M$3:$M$12, B290)</f>
        <v>0</v>
      </c>
      <c r="F296" s="124"/>
      <c r="G296" s="124"/>
      <c r="X296" s="162">
        <v>5</v>
      </c>
      <c r="Y296" s="164">
        <f>B296</f>
        <v>0</v>
      </c>
      <c r="Z296" s="164" t="str">
        <f>B297</f>
        <v>.</v>
      </c>
      <c r="AA296" s="309">
        <f>B295</f>
        <v>0</v>
      </c>
      <c r="AB296" s="164" t="str">
        <f>CONCATENATE("В ",B299,", ","Ш ",B300)</f>
        <v>В -6, Ш -6</v>
      </c>
      <c r="AC296" s="164"/>
      <c r="AD296" s="310">
        <f>B295</f>
        <v>0</v>
      </c>
      <c r="AE296" s="197" t="s">
        <v>278</v>
      </c>
    </row>
    <row r="297" spans="1:31" ht="15" hidden="1" customHeight="1" outlineLevel="1" x14ac:dyDescent="0.3">
      <c r="A297" s="39" t="s">
        <v>381</v>
      </c>
      <c r="B297" s="269" t="str">
        <f>IFERROR(INDEX($N$3:$N$12, B290),0)</f>
        <v>.</v>
      </c>
      <c r="F297" s="124"/>
      <c r="G297" s="124"/>
      <c r="X297" s="162">
        <v>6</v>
      </c>
      <c r="Y297" s="164" t="s">
        <v>242</v>
      </c>
      <c r="Z297" s="167" t="s">
        <v>243</v>
      </c>
      <c r="AA297" s="164">
        <f>IF(B293&gt;550,2*AD297,1*AD297)</f>
        <v>0</v>
      </c>
      <c r="AB297" s="164"/>
      <c r="AC297" s="164"/>
      <c r="AD297" s="310">
        <f>B295</f>
        <v>0</v>
      </c>
      <c r="AE297" s="197" t="s">
        <v>240</v>
      </c>
    </row>
    <row r="298" spans="1:31" ht="15" hidden="1" customHeight="1" outlineLevel="1" x14ac:dyDescent="0.3">
      <c r="A298" s="39" t="s">
        <v>398</v>
      </c>
      <c r="B298" s="281">
        <f>IFERROR(IF(B297=".", 0, VLOOKUP(B297, Ред!$B:$F, 4, 0)),0)</f>
        <v>0</v>
      </c>
      <c r="F298" s="124"/>
      <c r="G298" s="124"/>
      <c r="H298" s="124"/>
      <c r="X298" s="162">
        <v>7</v>
      </c>
      <c r="Y298" s="164" t="s">
        <v>244</v>
      </c>
      <c r="Z298" s="167" t="s">
        <v>245</v>
      </c>
      <c r="AA298" s="164">
        <f>(B293+B294)*2/1000*AD298</f>
        <v>0</v>
      </c>
      <c r="AB298" s="164"/>
      <c r="AC298" s="164"/>
      <c r="AD298" s="310">
        <f>B295</f>
        <v>0</v>
      </c>
      <c r="AE298" s="197" t="s">
        <v>240</v>
      </c>
    </row>
    <row r="299" spans="1:31" s="40" customFormat="1" ht="15" hidden="1" customHeight="1" outlineLevel="1" x14ac:dyDescent="0.3">
      <c r="A299" s="39" t="s">
        <v>399</v>
      </c>
      <c r="B299" s="282">
        <f>B293-6</f>
        <v>-6</v>
      </c>
      <c r="C299" s="39"/>
      <c r="D299" s="39"/>
      <c r="E299" s="39"/>
      <c r="F299" s="124"/>
      <c r="G299" s="124"/>
      <c r="X299" s="162">
        <v>8</v>
      </c>
      <c r="Y299" s="165" t="s">
        <v>246</v>
      </c>
      <c r="Z299" s="167" t="s">
        <v>247</v>
      </c>
      <c r="AA299" s="164">
        <f>0.02*AD299</f>
        <v>0</v>
      </c>
      <c r="AB299" s="164"/>
      <c r="AC299" s="164"/>
      <c r="AD299" s="310">
        <f>B295</f>
        <v>0</v>
      </c>
      <c r="AE299" s="197" t="s">
        <v>240</v>
      </c>
    </row>
    <row r="300" spans="1:31" ht="15" hidden="1" customHeight="1" outlineLevel="1" x14ac:dyDescent="0.3">
      <c r="A300" s="39" t="s">
        <v>400</v>
      </c>
      <c r="B300" s="282">
        <f>B294-6</f>
        <v>-6</v>
      </c>
      <c r="C300" s="5"/>
      <c r="D300" s="124"/>
      <c r="E300" s="124"/>
      <c r="F300" s="124"/>
      <c r="G300" s="124"/>
      <c r="H300" s="124"/>
      <c r="X300" s="162">
        <v>9</v>
      </c>
      <c r="Y300" s="164" t="s">
        <v>475</v>
      </c>
      <c r="Z300" s="167" t="s">
        <v>474</v>
      </c>
      <c r="AA300" s="193">
        <f>(((B294*2)/1000)+0.5)/66*B295</f>
        <v>0</v>
      </c>
      <c r="AB300" s="164"/>
      <c r="AC300" s="164"/>
      <c r="AD300" s="310">
        <f>B295</f>
        <v>0</v>
      </c>
      <c r="AE300" s="197" t="s">
        <v>240</v>
      </c>
    </row>
    <row r="301" spans="1:31" ht="15" hidden="1" customHeight="1" outlineLevel="1" x14ac:dyDescent="0.3">
      <c r="A301" s="39" t="s">
        <v>401</v>
      </c>
      <c r="B301" s="283">
        <f>B299*B300/1000000</f>
        <v>3.6000000000000001E-5</v>
      </c>
      <c r="C301" s="5"/>
      <c r="D301" s="124"/>
      <c r="E301" s="124"/>
      <c r="F301" s="124"/>
      <c r="G301" s="124"/>
      <c r="H301" s="124"/>
      <c r="X301" s="162">
        <v>10</v>
      </c>
      <c r="Y301" s="164" t="s">
        <v>248</v>
      </c>
      <c r="Z301" s="167" t="s">
        <v>249</v>
      </c>
      <c r="AA301" s="193">
        <f>((B294*8/1000)+0.5)/45*B295</f>
        <v>0</v>
      </c>
      <c r="AB301" s="164"/>
      <c r="AC301" s="164"/>
      <c r="AD301" s="310">
        <f>B295</f>
        <v>0</v>
      </c>
      <c r="AE301" s="197" t="s">
        <v>240</v>
      </c>
    </row>
    <row r="302" spans="1:31" ht="15" hidden="1" customHeight="1" outlineLevel="1" x14ac:dyDescent="0.3">
      <c r="A302" s="145" t="s">
        <v>402</v>
      </c>
      <c r="B302" s="284">
        <f>B298*B301*B295</f>
        <v>0</v>
      </c>
      <c r="H302" s="124"/>
      <c r="X302" s="188">
        <v>11</v>
      </c>
      <c r="Y302" s="189" t="s">
        <v>250</v>
      </c>
      <c r="Z302" s="190" t="s">
        <v>251</v>
      </c>
      <c r="AA302" s="189">
        <f>((B294*4/1000)+1)</f>
        <v>1</v>
      </c>
      <c r="AB302" s="189"/>
      <c r="AC302" s="189"/>
      <c r="AD302" s="311">
        <f>B295</f>
        <v>0</v>
      </c>
      <c r="AE302" s="197" t="s">
        <v>240</v>
      </c>
    </row>
    <row r="303" spans="1:31" ht="15" hidden="1" customHeight="1" outlineLevel="1" x14ac:dyDescent="0.3">
      <c r="A303" s="39" t="s">
        <v>576</v>
      </c>
      <c r="B303" s="356">
        <f>IFERROR(IF(D303,(B299+B300)/1000*2*F303*B295,0),0)</f>
        <v>0</v>
      </c>
      <c r="C303" s="39" t="s">
        <v>574</v>
      </c>
      <c r="D303" s="39">
        <f>IFERROR(INDEX(Вставки[Обработка],MATCH(B297,Вставки[арт],0)) = 1,0)</f>
        <v>0</v>
      </c>
      <c r="E303" s="39" t="s">
        <v>6</v>
      </c>
      <c r="F303" s="356">
        <f>Ред!$E$33</f>
        <v>520.27052307692293</v>
      </c>
      <c r="H303" s="124"/>
      <c r="X303" s="189">
        <v>12</v>
      </c>
      <c r="Y303" s="189" t="s">
        <v>279</v>
      </c>
      <c r="Z303" s="167" t="s">
        <v>280</v>
      </c>
      <c r="AA303" s="189">
        <v>1</v>
      </c>
      <c r="AB303" s="164"/>
      <c r="AC303" s="189"/>
      <c r="AD303" s="310">
        <v>1</v>
      </c>
      <c r="AE303" s="256" t="s">
        <v>240</v>
      </c>
    </row>
    <row r="304" spans="1:31" ht="15" hidden="1" customHeight="1" outlineLevel="1" x14ac:dyDescent="0.3">
      <c r="A304" s="5"/>
      <c r="B304" s="288" t="s">
        <v>15</v>
      </c>
      <c r="C304" s="289" t="s">
        <v>371</v>
      </c>
      <c r="D304" s="290" t="s">
        <v>5</v>
      </c>
      <c r="E304" s="290" t="s">
        <v>3</v>
      </c>
      <c r="F304" s="291" t="s">
        <v>380</v>
      </c>
      <c r="G304" s="291" t="s">
        <v>7</v>
      </c>
      <c r="H304" s="124"/>
      <c r="X304" s="162">
        <v>13</v>
      </c>
      <c r="Y304" s="49" t="e">
        <f>INDEX(Ред!$A:$A,MATCH(Z304,Ред!B:B,0))</f>
        <v>#N/A</v>
      </c>
      <c r="Z304" s="386">
        <f>B313</f>
        <v>0</v>
      </c>
      <c r="AA304" s="50">
        <f>D313</f>
        <v>0</v>
      </c>
      <c r="AB304" s="164"/>
      <c r="AC304" s="164"/>
      <c r="AD304" s="310">
        <f>AA304</f>
        <v>0</v>
      </c>
      <c r="AE304" s="164" t="s">
        <v>241</v>
      </c>
    </row>
    <row r="305" spans="1:31" ht="15" hidden="1" customHeight="1" outlineLevel="1" x14ac:dyDescent="0.3">
      <c r="A305" s="292" t="s">
        <v>104</v>
      </c>
      <c r="B305" s="49" t="str">
        <f>INDEX(ПрофилиMAXАрт[полноенаим],MATCH(B291&amp;C305,ПрофилиMAXАрт[поиск],0))</f>
        <v>Фасад, Рамочный узкий профиль</v>
      </c>
      <c r="C305" s="21" t="str">
        <f>IF(A305=INDEX($P$3:$P$12, B290), "Да", "Нет")</f>
        <v>Нет</v>
      </c>
      <c r="D305" s="48" t="e">
        <f>INDEX(ПрофилиMAXАрт[], MATCH(B305, ПрофилиMAXАрт[полноенаим], 0), MATCH(B292, ПрофилиMAXАрт[#Headers], 0))</f>
        <v>#N/A</v>
      </c>
      <c r="E305" s="293" t="e">
        <f>VLOOKUP(D305, Ред!$B:$F, 4, 0)</f>
        <v>#N/A</v>
      </c>
      <c r="F305" s="48">
        <f>B293+IF(C305="Да", 200, 100)</f>
        <v>100</v>
      </c>
      <c r="G305" s="293" t="e">
        <f>E305/5400*F305*B295</f>
        <v>#N/A</v>
      </c>
      <c r="H305" s="124"/>
      <c r="X305" s="164">
        <v>14</v>
      </c>
      <c r="Y305" s="164" t="e">
        <f>INDEX(Ред!$A:$A,MATCH(Z305,Ред!B:B,0))</f>
        <v>#N/A</v>
      </c>
      <c r="Z305" s="386">
        <f>B314</f>
        <v>0</v>
      </c>
      <c r="AA305" s="164">
        <f>ROUNDUP(D314/2.6,1)</f>
        <v>0</v>
      </c>
      <c r="AB305" s="164"/>
      <c r="AC305" s="164"/>
      <c r="AD305" s="310">
        <f>B295</f>
        <v>0</v>
      </c>
      <c r="AE305" s="164" t="s">
        <v>240</v>
      </c>
    </row>
    <row r="306" spans="1:31" ht="15" hidden="1" customHeight="1" outlineLevel="1" x14ac:dyDescent="0.3">
      <c r="A306" s="292" t="s">
        <v>210</v>
      </c>
      <c r="B306" s="49" t="str">
        <f>INDEX(ПрофилиMAXАрт[полноенаим],MATCH(B291&amp;C306,ПрофилиMAXАрт[поиск],0))</f>
        <v>Фасад, Рамочный узкий профиль</v>
      </c>
      <c r="C306" s="21" t="str">
        <f>IF(A306=INDEX($P$3:$P$12, B290), "Да", "Нет")</f>
        <v>Нет</v>
      </c>
      <c r="D306" s="48" t="e">
        <f>INDEX(ПрофилиMAXАрт[], MATCH(B306, ПрофилиMAXАрт[полноенаим], 0), MATCH(B292, ПрофилиMAXАрт[#Headers], 0))</f>
        <v>#N/A</v>
      </c>
      <c r="E306" s="293" t="e">
        <f>VLOOKUP(D306, Ред!$B:$F, 4, 0)</f>
        <v>#N/A</v>
      </c>
      <c r="F306" s="48">
        <f>B294+IF(C306="Да", 200, 100)</f>
        <v>100</v>
      </c>
      <c r="G306" s="293" t="e">
        <f>E306/5400*F306*B295</f>
        <v>#N/A</v>
      </c>
      <c r="H306" s="124"/>
      <c r="X306" s="164">
        <v>15</v>
      </c>
      <c r="Y306" s="164" t="e">
        <f>INDEX(Ред!$A:$A,MATCH(Z306,Ред!B:B,0))</f>
        <v>#N/A</v>
      </c>
      <c r="Z306" s="386">
        <f>B312</f>
        <v>0</v>
      </c>
      <c r="AA306" s="309">
        <f>D312</f>
        <v>0</v>
      </c>
      <c r="AB306" s="164"/>
      <c r="AC306" s="164"/>
      <c r="AD306" s="310">
        <f>B295</f>
        <v>0</v>
      </c>
      <c r="AE306" s="164" t="s">
        <v>241</v>
      </c>
    </row>
    <row r="307" spans="1:31" ht="15" hidden="1" customHeight="1" outlineLevel="1" x14ac:dyDescent="0.3">
      <c r="A307" s="292" t="s">
        <v>230</v>
      </c>
      <c r="B307" s="49" t="str">
        <f>INDEX(ПрофилиMAXАрт[полноенаим],MATCH(B291&amp;C307,ПрофилиMAXАрт[поиск],0))</f>
        <v>Фасад, Рамочный узкий профиль</v>
      </c>
      <c r="C307" s="21" t="str">
        <f>IF(A307=INDEX($P$3:$P$12, B290), "Да", "Нет")</f>
        <v>Нет</v>
      </c>
      <c r="D307" s="48" t="e">
        <f>INDEX(ПрофилиMAXАрт[], MATCH(B307, ПрофилиMAXАрт[полноенаим], 0), MATCH(B292, ПрофилиMAXАрт[#Headers], 0))</f>
        <v>#N/A</v>
      </c>
      <c r="E307" s="293" t="e">
        <f>VLOOKUP(D307, Ред!$B:$F, 4, 0)</f>
        <v>#N/A</v>
      </c>
      <c r="F307" s="48">
        <f>B293+IF(C307="Да", 200, 100)</f>
        <v>100</v>
      </c>
      <c r="G307" s="293" t="e">
        <f>E307/5400*F307*B295</f>
        <v>#N/A</v>
      </c>
      <c r="H307" s="124"/>
    </row>
    <row r="308" spans="1:31" ht="15" hidden="1" customHeight="1" outlineLevel="1" x14ac:dyDescent="0.3">
      <c r="A308" s="292" t="s">
        <v>211</v>
      </c>
      <c r="B308" s="49" t="str">
        <f>INDEX(ПрофилиMAXАрт[полноенаим],MATCH(B291&amp;C308,ПрофилиMAXАрт[поиск],0))</f>
        <v>Фасад, Рамочный узкий профиль</v>
      </c>
      <c r="C308" s="21" t="str">
        <f>IF(A308=INDEX($P$3:$P$12, B290), "Да", "Нет")</f>
        <v>Нет</v>
      </c>
      <c r="D308" s="48" t="e">
        <f>INDEX(ПрофилиMAXАрт[], MATCH(B308, ПрофилиMAXАрт[полноенаим], 0), MATCH(B292, ПрофилиMAXАрт[#Headers], 0))</f>
        <v>#N/A</v>
      </c>
      <c r="E308" s="293" t="e">
        <f>VLOOKUP(D308, Ред!$B:$F, 4, 0)</f>
        <v>#N/A</v>
      </c>
      <c r="F308" s="48">
        <f>B294+IF(C308="Да", 200, 100)</f>
        <v>100</v>
      </c>
      <c r="G308" s="293" t="e">
        <f>E308/5400*F308*B295</f>
        <v>#N/A</v>
      </c>
      <c r="H308" s="124"/>
    </row>
    <row r="309" spans="1:31" ht="15" hidden="1" customHeight="1" outlineLevel="1" x14ac:dyDescent="0.3">
      <c r="H309" s="124"/>
    </row>
    <row r="310" spans="1:31" ht="15" hidden="1" customHeight="1" outlineLevel="1" thickBot="1" x14ac:dyDescent="0.35">
      <c r="A310" s="297" t="s">
        <v>676</v>
      </c>
      <c r="B310" s="298" t="s">
        <v>389</v>
      </c>
      <c r="C310" s="299">
        <f>INDEX($Q$3:$Q$12, B290)</f>
        <v>0</v>
      </c>
      <c r="H310" s="124"/>
    </row>
    <row r="311" spans="1:31" ht="15" hidden="1" customHeight="1" outlineLevel="1" x14ac:dyDescent="0.3">
      <c r="B311" s="296" t="s">
        <v>390</v>
      </c>
      <c r="C311" s="19" t="s">
        <v>6</v>
      </c>
      <c r="D311" s="48" t="s">
        <v>379</v>
      </c>
      <c r="E311" s="48" t="s">
        <v>270</v>
      </c>
      <c r="F311" s="124"/>
      <c r="G311" s="124"/>
      <c r="H311" s="124"/>
    </row>
    <row r="312" spans="1:31" ht="15" hidden="1" customHeight="1" outlineLevel="1" x14ac:dyDescent="0.3">
      <c r="A312" s="294" t="s">
        <v>382</v>
      </c>
      <c r="B312" s="295">
        <f>IFERROR(INDEX(ФурнитураMAX[Петли], MATCH(C310,ФурнитураMAX[Цвет петель], 0)),0)</f>
        <v>0</v>
      </c>
      <c r="C312" s="293">
        <f>IFERROR(VLOOKUP(B312, Ред!$B:$F, 4, 0),0)</f>
        <v>0</v>
      </c>
      <c r="D312" s="50">
        <f>IF(INDEX($U$3:$U$12, B290)=0, 0, B295)</f>
        <v>0</v>
      </c>
      <c r="E312" s="48">
        <f>C312*D312</f>
        <v>0</v>
      </c>
      <c r="F312" s="124"/>
      <c r="G312" s="124"/>
      <c r="H312" s="124"/>
    </row>
    <row r="313" spans="1:31" ht="15" hidden="1" customHeight="1" outlineLevel="1" x14ac:dyDescent="0.3">
      <c r="A313" s="294" t="s">
        <v>383</v>
      </c>
      <c r="B313" s="295">
        <f>IFERROR(INDEX(ФурнитураMAX[Уголок], MATCH(C310,ФурнитураMAX[Цвет петель], 0)),0)</f>
        <v>0</v>
      </c>
      <c r="C313" s="293">
        <f>IFERROR(IF(B313="Нет", 0, VLOOKUP(B313, Ред!$B:$F, 4, 0)),0)</f>
        <v>0</v>
      </c>
      <c r="D313" s="50">
        <f>B295</f>
        <v>0</v>
      </c>
      <c r="E313" s="48">
        <f>C313*D313</f>
        <v>0</v>
      </c>
      <c r="H313" s="124"/>
    </row>
    <row r="314" spans="1:31" ht="15" hidden="1" customHeight="1" outlineLevel="1" x14ac:dyDescent="0.3">
      <c r="A314" s="294" t="s">
        <v>384</v>
      </c>
      <c r="B314" s="295">
        <f>IFERROR(INDEX(ФурнитураMAX[Уплотнитель], MATCH(C310,ФурнитураMAX[Цвет петель], 0)),0)</f>
        <v>0</v>
      </c>
      <c r="C314" s="293">
        <f>IFERROR(VLOOKUP(B314, Ред!$B:$F, 4, 0)/3,0)</f>
        <v>0</v>
      </c>
      <c r="D314" s="49">
        <f>CEILING((B293+B294)*2*B295/1000,1)</f>
        <v>0</v>
      </c>
      <c r="E314" s="48">
        <f>C314*D314</f>
        <v>0</v>
      </c>
      <c r="H314" s="124"/>
    </row>
    <row r="315" spans="1:31" ht="15" hidden="1" customHeight="1" outlineLevel="1" x14ac:dyDescent="0.3">
      <c r="A315" s="70" t="s">
        <v>97</v>
      </c>
      <c r="B315" s="300"/>
      <c r="C315" s="71"/>
      <c r="D315" s="301"/>
      <c r="E315" s="71">
        <v>413</v>
      </c>
      <c r="F315" s="124"/>
      <c r="G315" s="124"/>
      <c r="H315" s="124"/>
    </row>
    <row r="316" spans="1:31" ht="15" hidden="1" customHeight="1" outlineLevel="1" x14ac:dyDescent="0.3">
      <c r="A316" s="70" t="s">
        <v>98</v>
      </c>
      <c r="B316" s="71"/>
      <c r="C316" s="71"/>
      <c r="D316" s="71"/>
      <c r="E316" s="71">
        <v>413</v>
      </c>
      <c r="H316" s="124"/>
    </row>
    <row r="317" spans="1:31" ht="15" hidden="1" customHeight="1" outlineLevel="1" x14ac:dyDescent="0.3"/>
    <row r="318" spans="1:31" ht="15" hidden="1" customHeight="1" outlineLevel="1" thickBot="1" x14ac:dyDescent="0.35">
      <c r="A318" s="302" t="s">
        <v>395</v>
      </c>
      <c r="B318" s="285" t="e">
        <f>SUM(B302, B303, G305:G308, E312:E316)</f>
        <v>#N/A</v>
      </c>
      <c r="C318" s="385" t="e">
        <f>SUM(B302:B303, G305:G308, E314:E316)</f>
        <v>#N/A</v>
      </c>
      <c r="F318" s="278"/>
    </row>
    <row r="319" spans="1:31" ht="15" hidden="1" customHeight="1" outlineLevel="1" thickTop="1" x14ac:dyDescent="0.3">
      <c r="A319" s="145"/>
      <c r="B319" s="134"/>
      <c r="D319" s="124"/>
      <c r="E319" s="124"/>
      <c r="F319" s="124"/>
      <c r="G319" s="124"/>
      <c r="H319" s="124"/>
    </row>
    <row r="320" spans="1:31" ht="15.6" hidden="1" outlineLevel="1" x14ac:dyDescent="0.3">
      <c r="A320" s="145"/>
      <c r="B320" s="134"/>
      <c r="C320" s="5"/>
    </row>
    <row r="321" spans="1:3" ht="15.6" hidden="1" outlineLevel="1" x14ac:dyDescent="0.3">
      <c r="A321" s="145"/>
      <c r="B321" s="134"/>
      <c r="C321" s="5"/>
    </row>
    <row r="322" spans="1:3" ht="15" collapsed="1" thickTop="1" x14ac:dyDescent="0.3"/>
  </sheetData>
  <mergeCells count="10">
    <mergeCell ref="X193:AE193"/>
    <mergeCell ref="X225:AE225"/>
    <mergeCell ref="X257:AE257"/>
    <mergeCell ref="X289:AE289"/>
    <mergeCell ref="X1:AE1"/>
    <mergeCell ref="X33:AE33"/>
    <mergeCell ref="X65:AE65"/>
    <mergeCell ref="X97:AE97"/>
    <mergeCell ref="X129:AE129"/>
    <mergeCell ref="X161:AE161"/>
  </mergeCells>
  <pageMargins left="0.7" right="0.7" top="0.75" bottom="0.75" header="0.3" footer="0.3"/>
  <pageSetup paperSize="9"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20116-0B1A-44CE-8F55-42D37FEA2F84}">
  <sheetPr codeName="Лист8"/>
  <dimension ref="A1:AT163"/>
  <sheetViews>
    <sheetView zoomScaleNormal="100" zoomScaleSheetLayoutView="40" workbookViewId="0">
      <selection activeCell="B15" sqref="B15"/>
    </sheetView>
  </sheetViews>
  <sheetFormatPr defaultRowHeight="14.4" x14ac:dyDescent="0.3"/>
  <cols>
    <col min="2" max="2" width="35.5546875" customWidth="1"/>
    <col min="3" max="3" width="5.109375" customWidth="1"/>
    <col min="4" max="4" width="96.33203125" customWidth="1"/>
    <col min="5" max="5" width="1" customWidth="1"/>
    <col min="6" max="6" width="40.6640625" customWidth="1"/>
    <col min="7" max="7" width="25" customWidth="1"/>
    <col min="8" max="8" width="13.88671875" customWidth="1"/>
    <col min="9" max="9" width="27" customWidth="1"/>
    <col min="10" max="10" width="11" customWidth="1"/>
    <col min="11" max="11" width="58.44140625" customWidth="1"/>
    <col min="12" max="12" width="1.44140625" customWidth="1"/>
    <col min="13" max="13" width="19.33203125" customWidth="1"/>
    <col min="14" max="14" width="15" customWidth="1"/>
    <col min="15" max="15" width="10.6640625" customWidth="1"/>
    <col min="16" max="16" width="23.6640625" customWidth="1"/>
    <col min="17" max="21" width="10.6640625" customWidth="1"/>
    <col min="22" max="22" width="17.88671875" customWidth="1"/>
    <col min="23" max="23" width="20.5546875" customWidth="1"/>
    <col min="24" max="26" width="10.6640625" customWidth="1"/>
    <col min="27" max="27" width="25.109375" customWidth="1"/>
    <col min="28" max="35" width="10.6640625" customWidth="1"/>
  </cols>
  <sheetData>
    <row r="1" spans="1:36" x14ac:dyDescent="0.3">
      <c r="A1" t="str">
        <f>IF('Фасады EDGE'!$J$39&gt;0, "Выгрузка", "Пусто")</f>
        <v>Пусто</v>
      </c>
    </row>
    <row r="2" spans="1:36" ht="16.2" thickBot="1" x14ac:dyDescent="0.35">
      <c r="B2" s="366" t="e">
        <f>HYPERLINK("#"&amp; D2, "ВЫДЕЛИТЬ")</f>
        <v>#VALUE!</v>
      </c>
      <c r="D2" t="e">
        <f>"$B$3:" &amp; ADDRESS(MATCH("Пусто", A:A, 0)-2, 9)</f>
        <v>#VALUE!</v>
      </c>
    </row>
    <row r="3" spans="1:36" ht="46.8" x14ac:dyDescent="0.3">
      <c r="B3" s="344" t="s">
        <v>521</v>
      </c>
      <c r="C3" s="344"/>
      <c r="D3" s="344" t="s">
        <v>2</v>
      </c>
      <c r="E3" s="344" t="s">
        <v>0</v>
      </c>
      <c r="F3" s="344" t="s">
        <v>233</v>
      </c>
      <c r="G3" s="345" t="s">
        <v>558</v>
      </c>
      <c r="H3" s="346" t="s">
        <v>559</v>
      </c>
      <c r="I3" s="346" t="s">
        <v>560</v>
      </c>
      <c r="J3" s="347" t="s">
        <v>149</v>
      </c>
      <c r="K3" s="348" t="s">
        <v>237</v>
      </c>
      <c r="L3" s="349" t="s">
        <v>522</v>
      </c>
      <c r="M3" s="350"/>
      <c r="N3" s="338" t="s">
        <v>14</v>
      </c>
      <c r="O3" s="338" t="s">
        <v>523</v>
      </c>
      <c r="P3" s="338" t="s">
        <v>524</v>
      </c>
      <c r="Q3" s="338" t="s">
        <v>525</v>
      </c>
      <c r="R3" s="338" t="s">
        <v>526</v>
      </c>
      <c r="S3" s="338" t="s">
        <v>527</v>
      </c>
      <c r="T3" s="338" t="s">
        <v>528</v>
      </c>
      <c r="U3" s="338" t="s">
        <v>529</v>
      </c>
      <c r="V3" s="338" t="s">
        <v>530</v>
      </c>
      <c r="W3" s="338" t="s">
        <v>531</v>
      </c>
      <c r="X3" s="338" t="s">
        <v>532</v>
      </c>
      <c r="Y3" s="351" t="s">
        <v>533</v>
      </c>
      <c r="Z3" s="338" t="s">
        <v>534</v>
      </c>
      <c r="AA3" s="338" t="s">
        <v>535</v>
      </c>
      <c r="AB3" s="352" t="s">
        <v>536</v>
      </c>
      <c r="AC3" s="338" t="s">
        <v>537</v>
      </c>
      <c r="AD3" s="338" t="s">
        <v>538</v>
      </c>
      <c r="AE3" s="338" t="s">
        <v>539</v>
      </c>
      <c r="AF3" s="338" t="s">
        <v>540</v>
      </c>
      <c r="AG3" s="338" t="s">
        <v>541</v>
      </c>
      <c r="AH3" s="338" t="s">
        <v>542</v>
      </c>
      <c r="AI3" s="338" t="s">
        <v>543</v>
      </c>
      <c r="AJ3" s="338" t="s">
        <v>379</v>
      </c>
    </row>
    <row r="4" spans="1:36" ht="21" x14ac:dyDescent="0.4">
      <c r="A4" t="str">
        <f>IF('Фасады EDGE'!$X$8&gt;0, "ВФасад", "Пусто")</f>
        <v>Пусто</v>
      </c>
      <c r="B4" s="662" t="s">
        <v>548</v>
      </c>
      <c r="C4" s="367">
        <v>1</v>
      </c>
      <c r="D4" s="367" t="str">
        <f>IFERROR('Расчет фасадов'!Y4,0)</f>
        <v>Фасад, Рамочный узкий профиль</v>
      </c>
      <c r="E4" s="367"/>
      <c r="F4" s="367">
        <f>IFERROR('Расчет фасадов'!Z4,0)</f>
        <v>0</v>
      </c>
      <c r="G4" s="367" t="str">
        <f>IFERROR('Расчет фасадов'!AC4,0)</f>
        <v>0мм-0шт</v>
      </c>
      <c r="H4" s="368">
        <f>IFERROR('Расчет фасадов'!AD4,0)</f>
        <v>0</v>
      </c>
      <c r="I4" s="367">
        <f>IFERROR('Расчет фасадов'!AB4,0)</f>
        <v>0</v>
      </c>
      <c r="J4" s="369">
        <f>IFERROR('Расчет фасадов'!AA4,0)</f>
        <v>0</v>
      </c>
      <c r="K4" s="367" t="str">
        <f>IFERROR('Расчет фасадов'!AE4,0)</f>
        <v>Полуфабрикаты производимые в процессе</v>
      </c>
      <c r="N4" t="s">
        <v>544</v>
      </c>
      <c r="O4" t="s">
        <v>545</v>
      </c>
      <c r="P4" t="str">
        <f>IFERROR('Расчет фасадов'!$B$9,0)</f>
        <v>.</v>
      </c>
      <c r="V4" t="s">
        <v>546</v>
      </c>
      <c r="W4" t="s">
        <v>546</v>
      </c>
      <c r="X4" t="s">
        <v>547</v>
      </c>
      <c r="Y4" t="s">
        <v>361</v>
      </c>
      <c r="AA4">
        <f>'Фасады EDGE'!$C$8</f>
        <v>0</v>
      </c>
      <c r="AB4" t="s">
        <v>548</v>
      </c>
      <c r="AC4">
        <f>'Фасады EDGE'!$G$8</f>
        <v>0</v>
      </c>
      <c r="AD4">
        <f>'Фасады EDGE'!$I$8</f>
        <v>0</v>
      </c>
      <c r="AJ4" s="133">
        <f>'Фасады EDGE'!$W$8</f>
        <v>0</v>
      </c>
    </row>
    <row r="5" spans="1:36" ht="21" x14ac:dyDescent="0.4">
      <c r="B5" s="662"/>
      <c r="C5" s="370">
        <v>2</v>
      </c>
      <c r="D5" s="370" t="str">
        <f>IFERROR('Расчет фасадов'!Y5,0)</f>
        <v>Фасад, Рамочный узкий профиль</v>
      </c>
      <c r="E5" s="370"/>
      <c r="F5" s="370">
        <f>IFERROR('Расчет фасадов'!Z5,0)</f>
        <v>0</v>
      </c>
      <c r="G5" s="370" t="str">
        <f>IFERROR('Расчет фасадов'!AC5,0)</f>
        <v>0мм-0шт</v>
      </c>
      <c r="H5" s="371">
        <f>IFERROR('Расчет фасадов'!AD5,0)</f>
        <v>0</v>
      </c>
      <c r="I5" s="370">
        <f>IFERROR('Расчет фасадов'!AB5,0)</f>
        <v>0</v>
      </c>
      <c r="J5" s="372">
        <f>IFERROR('Расчет фасадов'!AA5,0)</f>
        <v>0</v>
      </c>
      <c r="K5" s="370" t="str">
        <f>IFERROR('Расчет фасадов'!AE5,0)</f>
        <v>Полуфабрикаты производимые в процессе</v>
      </c>
    </row>
    <row r="6" spans="1:36" ht="21" x14ac:dyDescent="0.4">
      <c r="C6" s="370">
        <v>3</v>
      </c>
      <c r="D6" s="370" t="str">
        <f>IFERROR('Расчет фасадов'!Y6,0)</f>
        <v>Фасад, Рамочный узкий профиль</v>
      </c>
      <c r="E6" s="370"/>
      <c r="F6" s="370">
        <f>IFERROR('Расчет фасадов'!Z6,0)</f>
        <v>0</v>
      </c>
      <c r="G6" s="370" t="str">
        <f>IFERROR('Расчет фасадов'!AC6,0)</f>
        <v>0мм-0шт</v>
      </c>
      <c r="H6" s="371">
        <f>IFERROR('Расчет фасадов'!AD6,0)</f>
        <v>0</v>
      </c>
      <c r="I6" s="370">
        <f>IFERROR('Расчет фасадов'!AB6,0)</f>
        <v>0</v>
      </c>
      <c r="J6" s="372">
        <f>IFERROR('Расчет фасадов'!AA6,0)</f>
        <v>0</v>
      </c>
      <c r="K6" s="370" t="str">
        <f>IFERROR('Расчет фасадов'!AE6,0)</f>
        <v>Полуфабрикаты производимые в процессе</v>
      </c>
    </row>
    <row r="7" spans="1:36" ht="21" x14ac:dyDescent="0.4">
      <c r="C7" s="370">
        <v>4</v>
      </c>
      <c r="D7" s="370" t="str">
        <f>IFERROR('Расчет фасадов'!Y7,0)</f>
        <v>Фасад, Рамочный узкий профиль</v>
      </c>
      <c r="E7" s="370"/>
      <c r="F7" s="370">
        <f>IFERROR('Расчет фасадов'!Z7,0)</f>
        <v>0</v>
      </c>
      <c r="G7" s="370" t="str">
        <f>IFERROR('Расчет фасадов'!AC7,0)</f>
        <v>0мм-0шт</v>
      </c>
      <c r="H7" s="371">
        <f>IFERROR('Расчет фасадов'!AD7,0)</f>
        <v>0</v>
      </c>
      <c r="I7" s="370">
        <f>IFERROR('Расчет фасадов'!AB7,0)</f>
        <v>0</v>
      </c>
      <c r="J7" s="372">
        <f>IFERROR('Расчет фасадов'!AA7,0)</f>
        <v>0</v>
      </c>
      <c r="K7" s="370" t="str">
        <f>IFERROR('Расчет фасадов'!AE7,0)</f>
        <v>Полуфабрикаты производимые в процессе</v>
      </c>
    </row>
    <row r="8" spans="1:36" ht="21" x14ac:dyDescent="0.4">
      <c r="C8" s="370">
        <v>5</v>
      </c>
      <c r="D8" s="370">
        <f>IFERROR('Расчет фасадов'!Y8,0)</f>
        <v>0</v>
      </c>
      <c r="E8" s="370"/>
      <c r="F8" s="370" t="str">
        <f>IFERROR('Расчет фасадов'!Z8,0)</f>
        <v>.</v>
      </c>
      <c r="G8" s="370">
        <f>IFERROR('Расчет фасадов'!AC8,0)</f>
        <v>0</v>
      </c>
      <c r="H8" s="371">
        <f>IFERROR('Расчет фасадов'!AD8,0)</f>
        <v>0</v>
      </c>
      <c r="I8" s="370" t="str">
        <f>IFERROR('Расчет фасадов'!AB8,0)</f>
        <v>В -6, Ш -6</v>
      </c>
      <c r="J8" s="372">
        <f>IFERROR('Расчет фасадов'!AA8,0)</f>
        <v>0</v>
      </c>
      <c r="K8" s="370" t="str">
        <f>IFERROR('Расчет фасадов'!AE8,0)</f>
        <v>Вставки</v>
      </c>
    </row>
    <row r="9" spans="1:36" ht="21" x14ac:dyDescent="0.4">
      <c r="C9" s="370">
        <v>6</v>
      </c>
      <c r="D9" s="370" t="str">
        <f>IFERROR('Расчет фасадов'!Y9,0)</f>
        <v>Воздушно-пузырьковая пленка 3-10-115 (1,2*100)</v>
      </c>
      <c r="E9" s="370"/>
      <c r="F9" s="370" t="str">
        <f>IFERROR('Расчет фасадов'!Z9,0)</f>
        <v>3-10-115</v>
      </c>
      <c r="G9" s="370">
        <f>IFERROR('Расчет фасадов'!AC9,0)</f>
        <v>0</v>
      </c>
      <c r="H9" s="371">
        <f>IFERROR('Расчет фасадов'!AD9,0)</f>
        <v>0</v>
      </c>
      <c r="I9" s="370">
        <f>IFERROR('Расчет фасадов'!AB9,0)</f>
        <v>0</v>
      </c>
      <c r="J9" s="372">
        <f>IFERROR('Расчет фасадов'!AA9,0)</f>
        <v>0</v>
      </c>
      <c r="K9" s="370" t="str">
        <f>IFERROR('Расчет фасадов'!AE9,0)</f>
        <v>Полуфабрикаты производимые в процессе</v>
      </c>
    </row>
    <row r="10" spans="1:36" ht="21" x14ac:dyDescent="0.4">
      <c r="C10" s="370">
        <v>7</v>
      </c>
      <c r="D10" s="370" t="str">
        <f>IFERROR('Расчет фасадов'!Y10,0)</f>
        <v>Новофлекс П 40-50 (L3100)</v>
      </c>
      <c r="E10" s="370"/>
      <c r="F10" s="370" t="str">
        <f>IFERROR('Расчет фасадов'!Z10,0)</f>
        <v>П 40-50</v>
      </c>
      <c r="G10" s="370">
        <f>IFERROR('Расчет фасадов'!AC10,0)</f>
        <v>0</v>
      </c>
      <c r="H10" s="371">
        <f>IFERROR('Расчет фасадов'!AD10,0)</f>
        <v>0</v>
      </c>
      <c r="I10" s="370">
        <f>IFERROR('Расчет фасадов'!AB10,0)</f>
        <v>0</v>
      </c>
      <c r="J10" s="372">
        <f>IFERROR('Расчет фасадов'!AA10,0)</f>
        <v>0</v>
      </c>
      <c r="K10" s="370" t="str">
        <f>IFERROR('Расчет фасадов'!AE10,0)</f>
        <v>Полуфабрикаты производимые в процессе</v>
      </c>
    </row>
    <row r="11" spans="1:36" ht="21" x14ac:dyDescent="0.4">
      <c r="C11" s="370">
        <v>8</v>
      </c>
      <c r="D11" s="370" t="str">
        <f>IFERROR('Расчет фасадов'!Y11,0)</f>
        <v>Стрейч плёнка 500*300 (087.0800.50) первичная</v>
      </c>
      <c r="E11" s="370"/>
      <c r="F11" s="370" t="str">
        <f>IFERROR('Расчет фасадов'!Z11,0)</f>
        <v>087.0800.50</v>
      </c>
      <c r="G11" s="370">
        <f>IFERROR('Расчет фасадов'!AC11,0)</f>
        <v>0</v>
      </c>
      <c r="H11" s="371">
        <f>IFERROR('Расчет фасадов'!AD11,0)</f>
        <v>0</v>
      </c>
      <c r="I11" s="370">
        <f>IFERROR('Расчет фасадов'!AB11,0)</f>
        <v>0</v>
      </c>
      <c r="J11" s="372">
        <f>IFERROR('Расчет фасадов'!AA11,0)</f>
        <v>0</v>
      </c>
      <c r="K11" s="370" t="str">
        <f>IFERROR('Расчет фасадов'!AE11,0)</f>
        <v>Полуфабрикаты производимые в процессе</v>
      </c>
    </row>
    <row r="12" spans="1:36" ht="21" x14ac:dyDescent="0.4">
      <c r="C12" s="370">
        <v>9</v>
      </c>
      <c r="D12" s="370" t="str">
        <f>IFERROR('Расчет фасадов'!Y12,0)</f>
        <v>Скотч АРИСТО 2021 06.21</v>
      </c>
      <c r="E12" s="370"/>
      <c r="F12" s="370" t="str">
        <f>IFERROR('Расчет фасадов'!Z12,0)</f>
        <v>ARR-0335</v>
      </c>
      <c r="G12" s="370">
        <f>IFERROR('Расчет фасадов'!AC12,0)</f>
        <v>0</v>
      </c>
      <c r="H12" s="371">
        <f>IFERROR('Расчет фасадов'!AD12,0)</f>
        <v>0</v>
      </c>
      <c r="I12" s="370">
        <f>IFERROR('Расчет фасадов'!AB12,0)</f>
        <v>0</v>
      </c>
      <c r="J12" s="372">
        <f>IFERROR('Расчет фасадов'!AA12,0)</f>
        <v>0</v>
      </c>
      <c r="K12" s="370" t="str">
        <f>IFERROR('Расчет фасадов'!AE12,0)</f>
        <v>Полуфабрикаты производимые в процессе</v>
      </c>
    </row>
    <row r="13" spans="1:36" ht="21" x14ac:dyDescent="0.4">
      <c r="C13" s="370">
        <v>10</v>
      </c>
      <c r="D13" s="370" t="str">
        <f>IFERROR('Расчет фасадов'!Y13,0)</f>
        <v>Клейкая лента прозрачная 72мм*45мм*50мкм</v>
      </c>
      <c r="E13" s="370"/>
      <c r="F13" s="370" t="str">
        <f>IFERROR('Расчет фасадов'!Z13,0)</f>
        <v>0800.50</v>
      </c>
      <c r="G13" s="370">
        <f>IFERROR('Расчет фасадов'!AC13,0)</f>
        <v>0</v>
      </c>
      <c r="H13" s="371">
        <f>IFERROR('Расчет фасадов'!AD13,0)</f>
        <v>0</v>
      </c>
      <c r="I13" s="370">
        <f>IFERROR('Расчет фасадов'!AB13,0)</f>
        <v>0</v>
      </c>
      <c r="J13" s="372">
        <f>IFERROR('Расчет фасадов'!AA13,0)</f>
        <v>0</v>
      </c>
      <c r="K13" s="370" t="str">
        <f>IFERROR('Расчет фасадов'!AE13,0)</f>
        <v>Полуфабрикаты производимые в процессе</v>
      </c>
    </row>
    <row r="14" spans="1:36" ht="21" x14ac:dyDescent="0.4">
      <c r="C14" s="370">
        <v>11</v>
      </c>
      <c r="D14" s="370" t="str">
        <f>IFERROR('Расчет фасадов'!Y14,0)</f>
        <v>Клейкая ленка "ОСТОРОЖНО! СТЕКЛО"</v>
      </c>
      <c r="E14" s="370"/>
      <c r="F14" s="370" t="str">
        <f>IFERROR('Расчет фасадов'!Z14,0)</f>
        <v>43скл</v>
      </c>
      <c r="G14" s="370">
        <f>IFERROR('Расчет фасадов'!AC14,0)</f>
        <v>0</v>
      </c>
      <c r="H14" s="371">
        <f>IFERROR('Расчет фасадов'!AD14,0)</f>
        <v>0</v>
      </c>
      <c r="I14" s="370">
        <f>IFERROR('Расчет фасадов'!AB14,0)</f>
        <v>0</v>
      </c>
      <c r="J14" s="372">
        <f>IFERROR('Расчет фасадов'!AA14,0)</f>
        <v>1</v>
      </c>
      <c r="K14" s="370" t="str">
        <f>IFERROR('Расчет фасадов'!AE14,0)</f>
        <v>Полуфабрикаты производимые в процессе</v>
      </c>
    </row>
    <row r="15" spans="1:36" ht="21" x14ac:dyDescent="0.4">
      <c r="C15" s="370">
        <v>12</v>
      </c>
      <c r="D15" s="370" t="str">
        <f>IFERROR('Расчет фасадов'!Y15,0)</f>
        <v>Пленка-мешок полиэтиленовый 250*700*0,1</v>
      </c>
      <c r="E15" s="370"/>
      <c r="F15" s="370" t="str">
        <f>IFERROR('Расчет фасадов'!Z15,0)</f>
        <v>250*700*0,1</v>
      </c>
      <c r="G15" s="370">
        <f>IFERROR('Расчет фасадов'!AC15,0)</f>
        <v>0</v>
      </c>
      <c r="H15" s="371">
        <f>IFERROR('Расчет фасадов'!AD15,0)</f>
        <v>1</v>
      </c>
      <c r="I15" s="370">
        <f>IFERROR('Расчет фасадов'!AB15,0)</f>
        <v>0</v>
      </c>
      <c r="J15" s="372">
        <f>IFERROR('Расчет фасадов'!AA15,0)</f>
        <v>1</v>
      </c>
      <c r="K15" s="370" t="str">
        <f>IFERROR('Расчет фасадов'!AE15,0)</f>
        <v>Полуфабрикаты производимые в процессе</v>
      </c>
    </row>
    <row r="16" spans="1:36" ht="21" x14ac:dyDescent="0.4">
      <c r="C16" s="370">
        <v>13</v>
      </c>
      <c r="D16" s="370">
        <f>IFERROR('Расчет фасадов'!Y16,0)</f>
        <v>0</v>
      </c>
      <c r="E16" s="370"/>
      <c r="F16" s="370">
        <f>IFERROR('Расчет фасадов'!Z16,0)</f>
        <v>0</v>
      </c>
      <c r="G16" s="370">
        <f>IFERROR('Расчет фасадов'!AC16,0)</f>
        <v>0</v>
      </c>
      <c r="H16" s="371">
        <f>IFERROR('Расчет фасадов'!AD16,0)</f>
        <v>0</v>
      </c>
      <c r="I16" s="370">
        <f>IFERROR('Расчет фасадов'!AB16,0)</f>
        <v>0</v>
      </c>
      <c r="J16" s="372">
        <f>IFERROR('Расчет фасадов'!AA16,0)</f>
        <v>0</v>
      </c>
      <c r="K16" s="370" t="str">
        <f>IFERROR('Расчет фасадов'!AE16,0)</f>
        <v>Фурнитура</v>
      </c>
    </row>
    <row r="17" spans="1:46" ht="21" x14ac:dyDescent="0.4">
      <c r="C17" s="370">
        <v>14</v>
      </c>
      <c r="D17" s="370">
        <f>IFERROR('Расчет фасадов'!Y17,0)</f>
        <v>0</v>
      </c>
      <c r="E17" s="370"/>
      <c r="F17" s="370">
        <f>IFERROR('Расчет фасадов'!Z17,0)</f>
        <v>0</v>
      </c>
      <c r="G17" s="370">
        <f>IFERROR('Расчет фасадов'!AC17,0)</f>
        <v>0</v>
      </c>
      <c r="H17" s="371">
        <f>IFERROR('Расчет фасадов'!AD17,0)</f>
        <v>0</v>
      </c>
      <c r="I17" s="370">
        <f>IFERROR('Расчет фасадов'!AB17,0)</f>
        <v>0</v>
      </c>
      <c r="J17" s="372">
        <f>IFERROR('Расчет фасадов'!AA17,0)</f>
        <v>0</v>
      </c>
      <c r="K17" s="370" t="str">
        <f>IFERROR('Расчет фасадов'!AE17,0)</f>
        <v>Полуфабрикаты производимые в процессе</v>
      </c>
    </row>
    <row r="18" spans="1:46" ht="21.6" thickBot="1" x14ac:dyDescent="0.45">
      <c r="A18" s="245"/>
      <c r="B18" s="245"/>
      <c r="C18" s="373">
        <v>15</v>
      </c>
      <c r="D18" s="373">
        <f>IFERROR('Расчет фасадов'!Y18,0)</f>
        <v>0</v>
      </c>
      <c r="E18" s="373"/>
      <c r="F18" s="373">
        <f>IFERROR('Расчет фасадов'!Z18,0)</f>
        <v>0</v>
      </c>
      <c r="G18" s="373">
        <f>IFERROR('Расчет фасадов'!AC18,0)</f>
        <v>0</v>
      </c>
      <c r="H18" s="374">
        <f>IFERROR('Расчет фасадов'!AD18,0)</f>
        <v>0</v>
      </c>
      <c r="I18" s="373">
        <f>IFERROR('Расчет фасадов'!AB18,0)</f>
        <v>0</v>
      </c>
      <c r="J18" s="375">
        <f>IFERROR('Расчет фасадов'!AA18,0)</f>
        <v>0</v>
      </c>
      <c r="K18" s="373" t="str">
        <f>IFERROR('Расчет фасадов'!AE18,0)</f>
        <v>Фурнитура</v>
      </c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</row>
    <row r="19" spans="1:46" ht="46.8" x14ac:dyDescent="0.3">
      <c r="B19" s="344" t="s">
        <v>521</v>
      </c>
      <c r="C19" s="344"/>
      <c r="D19" s="344" t="s">
        <v>2</v>
      </c>
      <c r="E19" s="344" t="s">
        <v>0</v>
      </c>
      <c r="F19" s="344" t="s">
        <v>233</v>
      </c>
      <c r="G19" s="345" t="s">
        <v>558</v>
      </c>
      <c r="H19" s="346" t="s">
        <v>559</v>
      </c>
      <c r="I19" s="346" t="s">
        <v>560</v>
      </c>
      <c r="J19" s="347" t="s">
        <v>149</v>
      </c>
      <c r="K19" s="348" t="s">
        <v>237</v>
      </c>
      <c r="L19" s="349" t="s">
        <v>522</v>
      </c>
      <c r="M19" s="350"/>
      <c r="N19" s="338" t="s">
        <v>14</v>
      </c>
      <c r="O19" s="338" t="s">
        <v>523</v>
      </c>
      <c r="P19" s="338" t="s">
        <v>524</v>
      </c>
      <c r="Q19" s="338" t="s">
        <v>525</v>
      </c>
      <c r="R19" s="338" t="s">
        <v>526</v>
      </c>
      <c r="S19" s="338" t="s">
        <v>527</v>
      </c>
      <c r="T19" s="338" t="s">
        <v>528</v>
      </c>
      <c r="U19" s="338" t="s">
        <v>529</v>
      </c>
      <c r="V19" s="338" t="s">
        <v>530</v>
      </c>
      <c r="W19" s="338" t="s">
        <v>531</v>
      </c>
      <c r="X19" s="338" t="s">
        <v>532</v>
      </c>
      <c r="Y19" s="351" t="s">
        <v>533</v>
      </c>
      <c r="Z19" s="338" t="s">
        <v>534</v>
      </c>
      <c r="AA19" s="338" t="s">
        <v>535</v>
      </c>
      <c r="AB19" s="352" t="s">
        <v>536</v>
      </c>
      <c r="AC19" s="338" t="s">
        <v>537</v>
      </c>
      <c r="AD19" s="338" t="s">
        <v>538</v>
      </c>
      <c r="AE19" s="338" t="s">
        <v>539</v>
      </c>
      <c r="AF19" s="338" t="s">
        <v>540</v>
      </c>
      <c r="AG19" s="338" t="s">
        <v>541</v>
      </c>
      <c r="AH19" s="338" t="s">
        <v>542</v>
      </c>
      <c r="AI19" s="338" t="s">
        <v>543</v>
      </c>
      <c r="AJ19" s="338" t="s">
        <v>379</v>
      </c>
    </row>
    <row r="20" spans="1:46" ht="21" x14ac:dyDescent="0.4">
      <c r="A20" t="str">
        <f>IF('Фасады EDGE'!$X$11&gt;0, "ВФасад", "Пусто")</f>
        <v>Пусто</v>
      </c>
      <c r="B20" s="662" t="s">
        <v>549</v>
      </c>
      <c r="C20" s="367">
        <v>1</v>
      </c>
      <c r="D20" s="367" t="str">
        <f>IFERROR('Расчет фасадов'!Y36,0)</f>
        <v>Фасад, Рамочный узкий профиль</v>
      </c>
      <c r="E20" s="367"/>
      <c r="F20" s="367">
        <f>IFERROR('Расчет фасадов'!Z36,0)</f>
        <v>0</v>
      </c>
      <c r="G20" s="367" t="str">
        <f>IFERROR('Расчет фасадов'!AC36,0)</f>
        <v>0мм-0шт</v>
      </c>
      <c r="H20" s="368">
        <f>IFERROR('Расчет фасадов'!AD36,0)</f>
        <v>0</v>
      </c>
      <c r="I20" s="367">
        <f>IFERROR('Расчет фасадов'!AB36,0)</f>
        <v>0</v>
      </c>
      <c r="J20" s="369">
        <f>IFERROR('Расчет фасадов'!AA36,0)</f>
        <v>0</v>
      </c>
      <c r="K20" s="367" t="str">
        <f>IFERROR('Расчет фасадов'!AE36,0)</f>
        <v>Полуфабрикаты производимые в процессе</v>
      </c>
      <c r="N20" t="s">
        <v>544</v>
      </c>
      <c r="O20" t="s">
        <v>545</v>
      </c>
      <c r="P20" s="133" t="str">
        <f>IFERROR('Расчет фасадов'!$B$41,0)</f>
        <v>.</v>
      </c>
      <c r="V20" t="s">
        <v>546</v>
      </c>
      <c r="W20" t="s">
        <v>546</v>
      </c>
      <c r="X20" t="s">
        <v>547</v>
      </c>
      <c r="Y20" t="s">
        <v>361</v>
      </c>
      <c r="AA20">
        <f>'Фасады EDGE'!$C$11</f>
        <v>0</v>
      </c>
      <c r="AB20" t="s">
        <v>549</v>
      </c>
      <c r="AC20">
        <f>'Фасады EDGE'!$G$11</f>
        <v>0</v>
      </c>
      <c r="AD20">
        <f>'Фасады EDGE'!$I$11</f>
        <v>0</v>
      </c>
      <c r="AJ20" s="133">
        <f>'Фасады EDGE'!$W$11</f>
        <v>0</v>
      </c>
    </row>
    <row r="21" spans="1:46" ht="21" x14ac:dyDescent="0.4">
      <c r="B21" s="662"/>
      <c r="C21" s="370">
        <v>2</v>
      </c>
      <c r="D21" s="370" t="str">
        <f>IFERROR('Расчет фасадов'!Y37,0)</f>
        <v>Фасад, Рамочный узкий профиль</v>
      </c>
      <c r="E21" s="370"/>
      <c r="F21" s="370">
        <f>IFERROR('Расчет фасадов'!Z37,0)</f>
        <v>0</v>
      </c>
      <c r="G21" s="370" t="str">
        <f>IFERROR('Расчет фасадов'!AC37,0)</f>
        <v>0мм-0шт</v>
      </c>
      <c r="H21" s="370">
        <f>IFERROR('Расчет фасадов'!AD37,0)</f>
        <v>0</v>
      </c>
      <c r="I21" s="370">
        <f>IFERROR('Расчет фасадов'!AB37,0)</f>
        <v>0</v>
      </c>
      <c r="J21" s="370">
        <f>IFERROR('Расчет фасадов'!AA37,0)</f>
        <v>0</v>
      </c>
      <c r="K21" s="370" t="str">
        <f>IFERROR('Расчет фасадов'!AE37,0)</f>
        <v>Полуфабрикаты производимые в процессе</v>
      </c>
    </row>
    <row r="22" spans="1:46" ht="21" x14ac:dyDescent="0.4">
      <c r="C22" s="370">
        <v>3</v>
      </c>
      <c r="D22" s="370" t="str">
        <f>IFERROR('Расчет фасадов'!Y38,0)</f>
        <v>Фасад, Рамочный узкий профиль</v>
      </c>
      <c r="E22" s="370"/>
      <c r="F22" s="370">
        <f>IFERROR('Расчет фасадов'!Z38,0)</f>
        <v>0</v>
      </c>
      <c r="G22" s="370" t="str">
        <f>IFERROR('Расчет фасадов'!AC38,0)</f>
        <v>0мм-0шт</v>
      </c>
      <c r="H22" s="370">
        <f>IFERROR('Расчет фасадов'!AD38,0)</f>
        <v>0</v>
      </c>
      <c r="I22" s="370">
        <f>IFERROR('Расчет фасадов'!AB38,0)</f>
        <v>0</v>
      </c>
      <c r="J22" s="370">
        <f>IFERROR('Расчет фасадов'!AA38,0)</f>
        <v>0</v>
      </c>
      <c r="K22" s="370" t="str">
        <f>IFERROR('Расчет фасадов'!AE38,0)</f>
        <v>Полуфабрикаты производимые в процессе</v>
      </c>
    </row>
    <row r="23" spans="1:46" ht="21" x14ac:dyDescent="0.4">
      <c r="C23" s="370">
        <v>4</v>
      </c>
      <c r="D23" s="370" t="str">
        <f>IFERROR('Расчет фасадов'!Y39,0)</f>
        <v>Фасад, Рамочный узкий профиль</v>
      </c>
      <c r="E23" s="370"/>
      <c r="F23" s="370">
        <f>IFERROR('Расчет фасадов'!Z39,0)</f>
        <v>0</v>
      </c>
      <c r="G23" s="370" t="str">
        <f>IFERROR('Расчет фасадов'!AC39,0)</f>
        <v>0мм-0шт</v>
      </c>
      <c r="H23" s="370">
        <f>IFERROR('Расчет фасадов'!AD39,0)</f>
        <v>0</v>
      </c>
      <c r="I23" s="370">
        <f>IFERROR('Расчет фасадов'!AB39,0)</f>
        <v>0</v>
      </c>
      <c r="J23" s="370">
        <f>IFERROR('Расчет фасадов'!AA39,0)</f>
        <v>0</v>
      </c>
      <c r="K23" s="370" t="str">
        <f>IFERROR('Расчет фасадов'!AE39,0)</f>
        <v>Полуфабрикаты производимые в процессе</v>
      </c>
    </row>
    <row r="24" spans="1:46" ht="21" x14ac:dyDescent="0.4">
      <c r="C24" s="370">
        <v>5</v>
      </c>
      <c r="D24" s="370">
        <f>IFERROR('Расчет фасадов'!Y40,0)</f>
        <v>0</v>
      </c>
      <c r="E24" s="370"/>
      <c r="F24" s="370" t="str">
        <f>IFERROR('Расчет фасадов'!Z40,0)</f>
        <v>.</v>
      </c>
      <c r="G24" s="370">
        <f>IFERROR('Расчет фасадов'!AC40,0)</f>
        <v>0</v>
      </c>
      <c r="H24" s="370">
        <f>IFERROR('Расчет фасадов'!AD40,0)</f>
        <v>0</v>
      </c>
      <c r="I24" s="370" t="str">
        <f>IFERROR('Расчет фасадов'!AB40,0)</f>
        <v>В -6, Ш -6</v>
      </c>
      <c r="J24" s="370">
        <f>IFERROR('Расчет фасадов'!AA40,0)</f>
        <v>0</v>
      </c>
      <c r="K24" s="370" t="str">
        <f>IFERROR('Расчет фасадов'!AE40,0)</f>
        <v>Вставки</v>
      </c>
    </row>
    <row r="25" spans="1:46" ht="21" x14ac:dyDescent="0.4">
      <c r="C25" s="370">
        <v>6</v>
      </c>
      <c r="D25" s="370" t="str">
        <f>IFERROR('Расчет фасадов'!Y41,0)</f>
        <v>Воздушно-пузырьковая пленка 3-10-115 (1,2*100)</v>
      </c>
      <c r="E25" s="370"/>
      <c r="F25" s="370" t="str">
        <f>IFERROR('Расчет фасадов'!Z41,0)</f>
        <v>3-10-115</v>
      </c>
      <c r="G25" s="370">
        <f>IFERROR('Расчет фасадов'!AC41,0)</f>
        <v>0</v>
      </c>
      <c r="H25" s="370">
        <f>IFERROR('Расчет фасадов'!AD41,0)</f>
        <v>0</v>
      </c>
      <c r="I25" s="370">
        <f>IFERROR('Расчет фасадов'!AB41,0)</f>
        <v>0</v>
      </c>
      <c r="J25" s="370">
        <f>IFERROR('Расчет фасадов'!AA41,0)</f>
        <v>0</v>
      </c>
      <c r="K25" s="370" t="str">
        <f>IFERROR('Расчет фасадов'!AE41,0)</f>
        <v>Полуфабрикаты производимые в процессе</v>
      </c>
    </row>
    <row r="26" spans="1:46" ht="21" x14ac:dyDescent="0.4">
      <c r="C26" s="370">
        <v>7</v>
      </c>
      <c r="D26" s="370" t="str">
        <f>IFERROR('Расчет фасадов'!Y42,0)</f>
        <v>Новофлекс П 40-50 (L3100)</v>
      </c>
      <c r="E26" s="370"/>
      <c r="F26" s="370" t="str">
        <f>IFERROR('Расчет фасадов'!Z42,0)</f>
        <v>П 40-50</v>
      </c>
      <c r="G26" s="370">
        <f>IFERROR('Расчет фасадов'!AC42,0)</f>
        <v>0</v>
      </c>
      <c r="H26" s="370">
        <f>IFERROR('Расчет фасадов'!AD42,0)</f>
        <v>0</v>
      </c>
      <c r="I26" s="370">
        <f>IFERROR('Расчет фасадов'!AB42,0)</f>
        <v>0</v>
      </c>
      <c r="J26" s="370">
        <f>IFERROR('Расчет фасадов'!AA42,0)</f>
        <v>0</v>
      </c>
      <c r="K26" s="370" t="str">
        <f>IFERROR('Расчет фасадов'!AE42,0)</f>
        <v>Полуфабрикаты производимые в процессе</v>
      </c>
    </row>
    <row r="27" spans="1:46" ht="21" x14ac:dyDescent="0.4">
      <c r="C27" s="370">
        <v>8</v>
      </c>
      <c r="D27" s="370" t="str">
        <f>IFERROR('Расчет фасадов'!Y43,0)</f>
        <v>Стрейч плёнка 500*300 (087.0800.50) первичная</v>
      </c>
      <c r="E27" s="370"/>
      <c r="F27" s="370" t="str">
        <f>IFERROR('Расчет фасадов'!Z43,0)</f>
        <v>087.0800.50</v>
      </c>
      <c r="G27" s="370">
        <f>IFERROR('Расчет фасадов'!AC43,0)</f>
        <v>0</v>
      </c>
      <c r="H27" s="370">
        <f>IFERROR('Расчет фасадов'!AD43,0)</f>
        <v>0</v>
      </c>
      <c r="I27" s="370">
        <f>IFERROR('Расчет фасадов'!AB43,0)</f>
        <v>0</v>
      </c>
      <c r="J27" s="370">
        <f>IFERROR('Расчет фасадов'!AA43,0)</f>
        <v>0</v>
      </c>
      <c r="K27" s="370" t="str">
        <f>IFERROR('Расчет фасадов'!AE43,0)</f>
        <v>Полуфабрикаты производимые в процессе</v>
      </c>
    </row>
    <row r="28" spans="1:46" ht="21" x14ac:dyDescent="0.4">
      <c r="C28" s="370">
        <v>9</v>
      </c>
      <c r="D28" s="370" t="str">
        <f>IFERROR('Расчет фасадов'!Y44,0)</f>
        <v>Скотч АРИСТО 2021 06.21</v>
      </c>
      <c r="E28" s="370"/>
      <c r="F28" s="370" t="str">
        <f>IFERROR('Расчет фасадов'!Z44,0)</f>
        <v>ARR-0335</v>
      </c>
      <c r="G28" s="370">
        <f>IFERROR('Расчет фасадов'!AC44,0)</f>
        <v>0</v>
      </c>
      <c r="H28" s="370">
        <f>IFERROR('Расчет фасадов'!AD44,0)</f>
        <v>0</v>
      </c>
      <c r="I28" s="370">
        <f>IFERROR('Расчет фасадов'!AB44,0)</f>
        <v>0</v>
      </c>
      <c r="J28" s="370">
        <f>IFERROR('Расчет фасадов'!AA44,0)</f>
        <v>0</v>
      </c>
      <c r="K28" s="370" t="str">
        <f>IFERROR('Расчет фасадов'!AE44,0)</f>
        <v>Полуфабрикаты производимые в процессе</v>
      </c>
    </row>
    <row r="29" spans="1:46" ht="21" x14ac:dyDescent="0.4">
      <c r="C29" s="370">
        <v>10</v>
      </c>
      <c r="D29" s="370" t="str">
        <f>IFERROR('Расчет фасадов'!Y45,0)</f>
        <v>Клейкая лента прозрачная 72мм*45мм*50мкм</v>
      </c>
      <c r="E29" s="370"/>
      <c r="F29" s="370" t="str">
        <f>IFERROR('Расчет фасадов'!Z45,0)</f>
        <v>0800.50</v>
      </c>
      <c r="G29" s="370">
        <f>IFERROR('Расчет фасадов'!AC45,0)</f>
        <v>0</v>
      </c>
      <c r="H29" s="370">
        <f>IFERROR('Расчет фасадов'!AD45,0)</f>
        <v>0</v>
      </c>
      <c r="I29" s="370">
        <f>IFERROR('Расчет фасадов'!AB45,0)</f>
        <v>0</v>
      </c>
      <c r="J29" s="370">
        <f>IFERROR('Расчет фасадов'!AA45,0)</f>
        <v>0</v>
      </c>
      <c r="K29" s="370" t="str">
        <f>IFERROR('Расчет фасадов'!AE45,0)</f>
        <v>Полуфабрикаты производимые в процессе</v>
      </c>
    </row>
    <row r="30" spans="1:46" ht="21" x14ac:dyDescent="0.4">
      <c r="C30" s="370">
        <v>11</v>
      </c>
      <c r="D30" s="370" t="str">
        <f>IFERROR('Расчет фасадов'!Y46,0)</f>
        <v>Клейкая ленка "ОСТОРОЖНО! СТЕКЛО"</v>
      </c>
      <c r="E30" s="370"/>
      <c r="F30" s="370" t="str">
        <f>IFERROR('Расчет фасадов'!Z46,0)</f>
        <v>43скл</v>
      </c>
      <c r="G30" s="370">
        <f>IFERROR('Расчет фасадов'!AC46,0)</f>
        <v>0</v>
      </c>
      <c r="H30" s="370">
        <f>IFERROR('Расчет фасадов'!AD46,0)</f>
        <v>0</v>
      </c>
      <c r="I30" s="370">
        <f>IFERROR('Расчет фасадов'!AB46,0)</f>
        <v>0</v>
      </c>
      <c r="J30" s="370">
        <f>IFERROR('Расчет фасадов'!AA46,0)</f>
        <v>1</v>
      </c>
      <c r="K30" s="370" t="str">
        <f>IFERROR('Расчет фасадов'!AE46,0)</f>
        <v>Полуфабрикаты производимые в процессе</v>
      </c>
    </row>
    <row r="31" spans="1:46" ht="21" x14ac:dyDescent="0.4">
      <c r="C31" s="370">
        <v>12</v>
      </c>
      <c r="D31" s="370" t="str">
        <f>IFERROR('Расчет фасадов'!Y47,0)</f>
        <v>Пленка-мешок полиэтиленовый 250*700*0,1</v>
      </c>
      <c r="E31" s="370"/>
      <c r="F31" s="370" t="str">
        <f>IFERROR('Расчет фасадов'!Z47,0)</f>
        <v>250*700*0,1</v>
      </c>
      <c r="G31" s="370">
        <f>IFERROR('Расчет фасадов'!AC47,0)</f>
        <v>0</v>
      </c>
      <c r="H31" s="370">
        <f>IFERROR('Расчет фасадов'!AD47,0)</f>
        <v>1</v>
      </c>
      <c r="I31" s="370">
        <f>IFERROR('Расчет фасадов'!AB47,0)</f>
        <v>0</v>
      </c>
      <c r="J31" s="370">
        <f>IFERROR('Расчет фасадов'!AA47,0)</f>
        <v>1</v>
      </c>
      <c r="K31" s="370" t="str">
        <f>IFERROR('Расчет фасадов'!AE47,0)</f>
        <v>Полуфабрикаты производимые в процессе</v>
      </c>
    </row>
    <row r="32" spans="1:46" ht="21" x14ac:dyDescent="0.4">
      <c r="C32" s="370">
        <v>13</v>
      </c>
      <c r="D32" s="370">
        <f>IFERROR('Расчет фасадов'!Y48,0)</f>
        <v>0</v>
      </c>
      <c r="E32" s="370"/>
      <c r="F32" s="370">
        <f>IFERROR('Расчет фасадов'!Z48,0)</f>
        <v>0</v>
      </c>
      <c r="G32" s="370">
        <f>IFERROR('Расчет фасадов'!AC48,0)</f>
        <v>0</v>
      </c>
      <c r="H32" s="370">
        <f>IFERROR('Расчет фасадов'!AD48,0)</f>
        <v>0</v>
      </c>
      <c r="I32" s="370">
        <f>IFERROR('Расчет фасадов'!AB48,0)</f>
        <v>0</v>
      </c>
      <c r="J32" s="370">
        <f>IFERROR('Расчет фасадов'!AA48,0)</f>
        <v>0</v>
      </c>
      <c r="K32" s="370" t="str">
        <f>IFERROR('Расчет фасадов'!AE48,0)</f>
        <v>Фурнитура</v>
      </c>
    </row>
    <row r="33" spans="1:46" ht="21" x14ac:dyDescent="0.4">
      <c r="C33" s="370">
        <v>14</v>
      </c>
      <c r="D33" s="370">
        <f>IFERROR('Расчет фасадов'!Y49,0)</f>
        <v>0</v>
      </c>
      <c r="E33" s="370"/>
      <c r="F33" s="370">
        <f>IFERROR('Расчет фасадов'!Z49,0)</f>
        <v>0</v>
      </c>
      <c r="G33" s="370">
        <f>IFERROR('Расчет фасадов'!AC49,0)</f>
        <v>0</v>
      </c>
      <c r="H33" s="370">
        <f>IFERROR('Расчет фасадов'!AD49,0)</f>
        <v>0</v>
      </c>
      <c r="I33" s="370">
        <f>IFERROR('Расчет фасадов'!AB49,0)</f>
        <v>0</v>
      </c>
      <c r="J33" s="370">
        <f>IFERROR('Расчет фасадов'!AA49,0)</f>
        <v>0</v>
      </c>
      <c r="K33" s="370" t="str">
        <f>IFERROR('Расчет фасадов'!AE49,0)</f>
        <v>Полуфабрикаты производимые в процессе</v>
      </c>
    </row>
    <row r="34" spans="1:46" ht="21.6" thickBot="1" x14ac:dyDescent="0.45">
      <c r="A34" s="245"/>
      <c r="B34" s="245"/>
      <c r="C34" s="373">
        <v>15</v>
      </c>
      <c r="D34" s="373">
        <f>IFERROR('Расчет фасадов'!Y50,0)</f>
        <v>0</v>
      </c>
      <c r="E34" s="373"/>
      <c r="F34" s="373">
        <f>IFERROR('Расчет фасадов'!Z50,0)</f>
        <v>0</v>
      </c>
      <c r="G34" s="373">
        <f>IFERROR('Расчет фасадов'!AC50,0)</f>
        <v>0</v>
      </c>
      <c r="H34" s="373">
        <f>IFERROR('Расчет фасадов'!AD50,0)</f>
        <v>0</v>
      </c>
      <c r="I34" s="373">
        <f>IFERROR('Расчет фасадов'!AB50,0)</f>
        <v>0</v>
      </c>
      <c r="J34" s="373">
        <f>IFERROR('Расчет фасадов'!AA50,0)</f>
        <v>0</v>
      </c>
      <c r="K34" s="373" t="str">
        <f>IFERROR('Расчет фасадов'!AE50,0)</f>
        <v>Фурнитура</v>
      </c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</row>
    <row r="35" spans="1:46" ht="46.8" x14ac:dyDescent="0.3">
      <c r="B35" s="344" t="s">
        <v>521</v>
      </c>
      <c r="C35" s="344"/>
      <c r="D35" s="344" t="s">
        <v>2</v>
      </c>
      <c r="E35" s="344" t="s">
        <v>0</v>
      </c>
      <c r="F35" s="344" t="s">
        <v>233</v>
      </c>
      <c r="G35" s="345" t="s">
        <v>558</v>
      </c>
      <c r="H35" s="346" t="s">
        <v>559</v>
      </c>
      <c r="I35" s="346" t="s">
        <v>560</v>
      </c>
      <c r="J35" s="347" t="s">
        <v>149</v>
      </c>
      <c r="K35" s="348" t="s">
        <v>237</v>
      </c>
      <c r="L35" s="349" t="s">
        <v>522</v>
      </c>
      <c r="M35" s="350"/>
      <c r="N35" s="338" t="s">
        <v>14</v>
      </c>
      <c r="O35" s="338" t="s">
        <v>523</v>
      </c>
      <c r="P35" s="338" t="s">
        <v>524</v>
      </c>
      <c r="Q35" s="338" t="s">
        <v>525</v>
      </c>
      <c r="R35" s="338" t="s">
        <v>526</v>
      </c>
      <c r="S35" s="338" t="s">
        <v>527</v>
      </c>
      <c r="T35" s="338" t="s">
        <v>528</v>
      </c>
      <c r="U35" s="338" t="s">
        <v>529</v>
      </c>
      <c r="V35" s="338" t="s">
        <v>530</v>
      </c>
      <c r="W35" s="338" t="s">
        <v>531</v>
      </c>
      <c r="X35" s="338" t="s">
        <v>532</v>
      </c>
      <c r="Y35" s="351" t="s">
        <v>533</v>
      </c>
      <c r="Z35" s="338" t="s">
        <v>534</v>
      </c>
      <c r="AA35" s="338" t="s">
        <v>535</v>
      </c>
      <c r="AB35" s="352" t="s">
        <v>536</v>
      </c>
      <c r="AC35" s="338" t="s">
        <v>537</v>
      </c>
      <c r="AD35" s="338" t="s">
        <v>538</v>
      </c>
      <c r="AE35" s="338" t="s">
        <v>539</v>
      </c>
      <c r="AF35" s="338" t="s">
        <v>540</v>
      </c>
      <c r="AG35" s="338" t="s">
        <v>541</v>
      </c>
      <c r="AH35" s="338" t="s">
        <v>542</v>
      </c>
      <c r="AI35" s="338" t="s">
        <v>543</v>
      </c>
      <c r="AJ35" s="338" t="s">
        <v>379</v>
      </c>
    </row>
    <row r="36" spans="1:46" ht="21" x14ac:dyDescent="0.4">
      <c r="A36" t="str">
        <f>IF('Фасады EDGE'!$X$14&gt;0, "ВФасад", "Пусто")</f>
        <v>Пусто</v>
      </c>
      <c r="B36" s="662" t="s">
        <v>550</v>
      </c>
      <c r="C36" s="367">
        <v>1</v>
      </c>
      <c r="D36" s="367" t="str">
        <f>IFERROR('Расчет фасадов'!Y68,0)</f>
        <v>Фасад, Рамочный узкий профиль</v>
      </c>
      <c r="E36" s="367"/>
      <c r="F36" s="367">
        <f>IFERROR('Расчет фасадов'!Z68,0)</f>
        <v>0</v>
      </c>
      <c r="G36" s="367" t="str">
        <f>IFERROR('Расчет фасадов'!AC68,0)</f>
        <v>0мм-0шт</v>
      </c>
      <c r="H36" s="368">
        <f>IFERROR('Расчет фасадов'!AD68,0)</f>
        <v>0</v>
      </c>
      <c r="I36" s="367">
        <f>IFERROR('Расчет фасадов'!AB68,0)</f>
        <v>0</v>
      </c>
      <c r="J36" s="369">
        <f>IFERROR('Расчет фасадов'!AA68,0)</f>
        <v>0</v>
      </c>
      <c r="K36" s="367" t="str">
        <f>IFERROR('Расчет фасадов'!AE68,0)</f>
        <v>Полуфабрикаты производимые в процессе</v>
      </c>
      <c r="N36" t="s">
        <v>544</v>
      </c>
      <c r="O36" t="s">
        <v>545</v>
      </c>
      <c r="P36" t="str">
        <f>IFERROR('Расчет фасадов'!$B$73,0)</f>
        <v>.</v>
      </c>
      <c r="V36" t="s">
        <v>546</v>
      </c>
      <c r="W36" t="s">
        <v>546</v>
      </c>
      <c r="X36" t="s">
        <v>547</v>
      </c>
      <c r="Y36" t="s">
        <v>361</v>
      </c>
      <c r="AA36">
        <f>'Фасады EDGE'!$C$14</f>
        <v>0</v>
      </c>
      <c r="AB36" t="s">
        <v>550</v>
      </c>
      <c r="AC36">
        <f>'Фасады EDGE'!$G$14</f>
        <v>0</v>
      </c>
      <c r="AD36">
        <f>'Фасады EDGE'!$I$14</f>
        <v>0</v>
      </c>
      <c r="AJ36" s="133">
        <f>'Фасады EDGE'!$W$14</f>
        <v>0</v>
      </c>
    </row>
    <row r="37" spans="1:46" ht="21" x14ac:dyDescent="0.4">
      <c r="B37" s="662"/>
      <c r="C37" s="370">
        <v>2</v>
      </c>
      <c r="D37" s="370" t="str">
        <f>IFERROR('Расчет фасадов'!Y69,0)</f>
        <v>Фасад, Рамочный узкий профиль</v>
      </c>
      <c r="E37" s="370"/>
      <c r="F37" s="370">
        <f>IFERROR('Расчет фасадов'!Z69,0)</f>
        <v>0</v>
      </c>
      <c r="G37" s="370" t="str">
        <f>IFERROR('Расчет фасадов'!AC69,0)</f>
        <v>0мм-0шт</v>
      </c>
      <c r="H37" s="370">
        <f>IFERROR('Расчет фасадов'!AD69,0)</f>
        <v>0</v>
      </c>
      <c r="I37" s="370">
        <f>IFERROR('Расчет фасадов'!AB69,0)</f>
        <v>0</v>
      </c>
      <c r="J37" s="370">
        <f>IFERROR('Расчет фасадов'!AA69,0)</f>
        <v>0</v>
      </c>
      <c r="K37" s="370" t="str">
        <f>IFERROR('Расчет фасадов'!AE69,0)</f>
        <v>Полуфабрикаты производимые в процессе</v>
      </c>
    </row>
    <row r="38" spans="1:46" ht="21" x14ac:dyDescent="0.4">
      <c r="C38" s="370">
        <v>3</v>
      </c>
      <c r="D38" s="370" t="str">
        <f>IFERROR('Расчет фасадов'!Y70,0)</f>
        <v>Фасад, Рамочный узкий профиль</v>
      </c>
      <c r="E38" s="370"/>
      <c r="F38" s="370">
        <f>IFERROR('Расчет фасадов'!Z70,0)</f>
        <v>0</v>
      </c>
      <c r="G38" s="370" t="str">
        <f>IFERROR('Расчет фасадов'!AC70,0)</f>
        <v>0мм-0шт</v>
      </c>
      <c r="H38" s="370">
        <f>IFERROR('Расчет фасадов'!AD70,0)</f>
        <v>0</v>
      </c>
      <c r="I38" s="370">
        <f>IFERROR('Расчет фасадов'!AB70,0)</f>
        <v>0</v>
      </c>
      <c r="J38" s="370">
        <f>IFERROR('Расчет фасадов'!AA70,0)</f>
        <v>0</v>
      </c>
      <c r="K38" s="370" t="str">
        <f>IFERROR('Расчет фасадов'!AE70,0)</f>
        <v>Полуфабрикаты производимые в процессе</v>
      </c>
    </row>
    <row r="39" spans="1:46" ht="21" x14ac:dyDescent="0.4">
      <c r="C39" s="370">
        <v>4</v>
      </c>
      <c r="D39" s="370" t="str">
        <f>IFERROR('Расчет фасадов'!Y71,0)</f>
        <v>Фасад, Рамочный узкий профиль</v>
      </c>
      <c r="E39" s="370"/>
      <c r="F39" s="370">
        <f>IFERROR('Расчет фасадов'!Z71,0)</f>
        <v>0</v>
      </c>
      <c r="G39" s="370" t="str">
        <f>IFERROR('Расчет фасадов'!AC71,0)</f>
        <v>0мм-0шт</v>
      </c>
      <c r="H39" s="370">
        <f>IFERROR('Расчет фасадов'!AD71,0)</f>
        <v>0</v>
      </c>
      <c r="I39" s="370">
        <f>IFERROR('Расчет фасадов'!AB71,0)</f>
        <v>0</v>
      </c>
      <c r="J39" s="370">
        <f>IFERROR('Расчет фасадов'!AA71,0)</f>
        <v>0</v>
      </c>
      <c r="K39" s="370" t="str">
        <f>IFERROR('Расчет фасадов'!AE71,0)</f>
        <v>Полуфабрикаты производимые в процессе</v>
      </c>
    </row>
    <row r="40" spans="1:46" ht="21" x14ac:dyDescent="0.4">
      <c r="C40" s="370">
        <v>5</v>
      </c>
      <c r="D40" s="370">
        <f>IFERROR('Расчет фасадов'!Y72,0)</f>
        <v>0</v>
      </c>
      <c r="E40" s="370"/>
      <c r="F40" s="370" t="str">
        <f>IFERROR('Расчет фасадов'!Z72,0)</f>
        <v>.</v>
      </c>
      <c r="G40" s="370">
        <f>IFERROR('Расчет фасадов'!AC72,0)</f>
        <v>0</v>
      </c>
      <c r="H40" s="370">
        <f>IFERROR('Расчет фасадов'!AD72,0)</f>
        <v>0</v>
      </c>
      <c r="I40" s="370" t="str">
        <f>IFERROR('Расчет фасадов'!AB72,0)</f>
        <v>В -6, Ш -6</v>
      </c>
      <c r="J40" s="370">
        <f>IFERROR('Расчет фасадов'!AA72,0)</f>
        <v>0</v>
      </c>
      <c r="K40" s="370" t="str">
        <f>IFERROR('Расчет фасадов'!AE72,0)</f>
        <v>Вставки</v>
      </c>
    </row>
    <row r="41" spans="1:46" ht="21" x14ac:dyDescent="0.4">
      <c r="C41" s="370">
        <v>6</v>
      </c>
      <c r="D41" s="370" t="str">
        <f>IFERROR('Расчет фасадов'!Y73,0)</f>
        <v>Воздушно-пузырьковая пленка 3-10-115 (1,2*100)</v>
      </c>
      <c r="E41" s="370"/>
      <c r="F41" s="370" t="str">
        <f>IFERROR('Расчет фасадов'!Z73,0)</f>
        <v>3-10-115</v>
      </c>
      <c r="G41" s="370">
        <f>IFERROR('Расчет фасадов'!AC73,0)</f>
        <v>0</v>
      </c>
      <c r="H41" s="370">
        <f>IFERROR('Расчет фасадов'!AD73,0)</f>
        <v>0</v>
      </c>
      <c r="I41" s="370">
        <f>IFERROR('Расчет фасадов'!AB73,0)</f>
        <v>0</v>
      </c>
      <c r="J41" s="370">
        <f>IFERROR('Расчет фасадов'!AA73,0)</f>
        <v>0</v>
      </c>
      <c r="K41" s="370" t="str">
        <f>IFERROR('Расчет фасадов'!AE73,0)</f>
        <v>Полуфабрикаты производимые в процессе</v>
      </c>
    </row>
    <row r="42" spans="1:46" ht="21" x14ac:dyDescent="0.4">
      <c r="C42" s="370">
        <v>7</v>
      </c>
      <c r="D42" s="370" t="str">
        <f>IFERROR('Расчет фасадов'!Y74,0)</f>
        <v>Новофлекс П 40-50 (L3100)</v>
      </c>
      <c r="E42" s="370"/>
      <c r="F42" s="370" t="str">
        <f>IFERROR('Расчет фасадов'!Z74,0)</f>
        <v>П 40-50</v>
      </c>
      <c r="G42" s="370">
        <f>IFERROR('Расчет фасадов'!AC74,0)</f>
        <v>0</v>
      </c>
      <c r="H42" s="370">
        <f>IFERROR('Расчет фасадов'!AD74,0)</f>
        <v>0</v>
      </c>
      <c r="I42" s="370">
        <f>IFERROR('Расчет фасадов'!AB74,0)</f>
        <v>0</v>
      </c>
      <c r="J42" s="370">
        <f>IFERROR('Расчет фасадов'!AA74,0)</f>
        <v>0</v>
      </c>
      <c r="K42" s="370" t="str">
        <f>IFERROR('Расчет фасадов'!AE74,0)</f>
        <v>Полуфабрикаты производимые в процессе</v>
      </c>
    </row>
    <row r="43" spans="1:46" ht="21" x14ac:dyDescent="0.4">
      <c r="C43" s="370">
        <v>8</v>
      </c>
      <c r="D43" s="370" t="str">
        <f>IFERROR('Расчет фасадов'!Y75,0)</f>
        <v>Стрейч плёнка 500*300 (087.0800.50) первичная</v>
      </c>
      <c r="E43" s="370"/>
      <c r="F43" s="370" t="str">
        <f>IFERROR('Расчет фасадов'!Z75,0)</f>
        <v>087.0800.50</v>
      </c>
      <c r="G43" s="370">
        <f>IFERROR('Расчет фасадов'!AC75,0)</f>
        <v>0</v>
      </c>
      <c r="H43" s="370">
        <f>IFERROR('Расчет фасадов'!AD75,0)</f>
        <v>0</v>
      </c>
      <c r="I43" s="370">
        <f>IFERROR('Расчет фасадов'!AB75,0)</f>
        <v>0</v>
      </c>
      <c r="J43" s="370">
        <f>IFERROR('Расчет фасадов'!AA75,0)</f>
        <v>0</v>
      </c>
      <c r="K43" s="370" t="str">
        <f>IFERROR('Расчет фасадов'!AE75,0)</f>
        <v>Полуфабрикаты производимые в процессе</v>
      </c>
    </row>
    <row r="44" spans="1:46" ht="21" x14ac:dyDescent="0.4">
      <c r="C44" s="370">
        <v>9</v>
      </c>
      <c r="D44" s="370" t="str">
        <f>IFERROR('Расчет фасадов'!Y76,0)</f>
        <v>Скотч АРИСТО 2021 06.21</v>
      </c>
      <c r="E44" s="370"/>
      <c r="F44" s="370" t="str">
        <f>IFERROR('Расчет фасадов'!Z76,0)</f>
        <v>ARR-0335</v>
      </c>
      <c r="G44" s="370">
        <f>IFERROR('Расчет фасадов'!AC76,0)</f>
        <v>0</v>
      </c>
      <c r="H44" s="370">
        <f>IFERROR('Расчет фасадов'!AD76,0)</f>
        <v>0</v>
      </c>
      <c r="I44" s="370">
        <f>IFERROR('Расчет фасадов'!AB76,0)</f>
        <v>0</v>
      </c>
      <c r="J44" s="370">
        <f>IFERROR('Расчет фасадов'!AA76,0)</f>
        <v>0</v>
      </c>
      <c r="K44" s="370" t="str">
        <f>IFERROR('Расчет фасадов'!AE76,0)</f>
        <v>Полуфабрикаты производимые в процессе</v>
      </c>
    </row>
    <row r="45" spans="1:46" ht="21" x14ac:dyDescent="0.4">
      <c r="C45" s="370">
        <v>10</v>
      </c>
      <c r="D45" s="370" t="str">
        <f>IFERROR('Расчет фасадов'!Y77,0)</f>
        <v>Клейкая лента прозрачная 72мм*45мм*50мкм</v>
      </c>
      <c r="E45" s="370"/>
      <c r="F45" s="370" t="str">
        <f>IFERROR('Расчет фасадов'!Z77,0)</f>
        <v>0800.50</v>
      </c>
      <c r="G45" s="370">
        <f>IFERROR('Расчет фасадов'!AC77,0)</f>
        <v>0</v>
      </c>
      <c r="H45" s="370">
        <f>IFERROR('Расчет фасадов'!AD77,0)</f>
        <v>0</v>
      </c>
      <c r="I45" s="370">
        <f>IFERROR('Расчет фасадов'!AB77,0)</f>
        <v>0</v>
      </c>
      <c r="J45" s="370">
        <f>IFERROR('Расчет фасадов'!AA77,0)</f>
        <v>0</v>
      </c>
      <c r="K45" s="370" t="str">
        <f>IFERROR('Расчет фасадов'!AE77,0)</f>
        <v>Полуфабрикаты производимые в процессе</v>
      </c>
    </row>
    <row r="46" spans="1:46" ht="21" x14ac:dyDescent="0.4">
      <c r="C46" s="370">
        <v>11</v>
      </c>
      <c r="D46" s="370" t="str">
        <f>IFERROR('Расчет фасадов'!Y78,0)</f>
        <v>Клейкая ленка "ОСТОРОЖНО! СТЕКЛО"</v>
      </c>
      <c r="E46" s="370"/>
      <c r="F46" s="370" t="str">
        <f>IFERROR('Расчет фасадов'!Z78,0)</f>
        <v>43скл</v>
      </c>
      <c r="G46" s="370">
        <f>IFERROR('Расчет фасадов'!AC78,0)</f>
        <v>0</v>
      </c>
      <c r="H46" s="370">
        <f>IFERROR('Расчет фасадов'!AD78,0)</f>
        <v>0</v>
      </c>
      <c r="I46" s="370">
        <f>IFERROR('Расчет фасадов'!AB78,0)</f>
        <v>0</v>
      </c>
      <c r="J46" s="370">
        <f>IFERROR('Расчет фасадов'!AA78,0)</f>
        <v>1</v>
      </c>
      <c r="K46" s="370" t="str">
        <f>IFERROR('Расчет фасадов'!AE78,0)</f>
        <v>Полуфабрикаты производимые в процессе</v>
      </c>
    </row>
    <row r="47" spans="1:46" ht="21" x14ac:dyDescent="0.4">
      <c r="C47" s="370">
        <v>12</v>
      </c>
      <c r="D47" s="370" t="str">
        <f>IFERROR('Расчет фасадов'!Y79,0)</f>
        <v>Пленка-мешок полиэтиленовый 250*700*0,1</v>
      </c>
      <c r="E47" s="370"/>
      <c r="F47" s="370" t="str">
        <f>IFERROR('Расчет фасадов'!Z79,0)</f>
        <v>250*700*0,1</v>
      </c>
      <c r="G47" s="370">
        <f>IFERROR('Расчет фасадов'!AC79,0)</f>
        <v>0</v>
      </c>
      <c r="H47" s="370">
        <f>IFERROR('Расчет фасадов'!AD79,0)</f>
        <v>1</v>
      </c>
      <c r="I47" s="370">
        <f>IFERROR('Расчет фасадов'!AB79,0)</f>
        <v>0</v>
      </c>
      <c r="J47" s="370">
        <f>IFERROR('Расчет фасадов'!AA79,0)</f>
        <v>1</v>
      </c>
      <c r="K47" s="370" t="str">
        <f>IFERROR('Расчет фасадов'!AE79,0)</f>
        <v>Полуфабрикаты производимые в процессе</v>
      </c>
    </row>
    <row r="48" spans="1:46" ht="21" x14ac:dyDescent="0.4">
      <c r="C48" s="370">
        <v>13</v>
      </c>
      <c r="D48" s="370">
        <f>IFERROR('Расчет фасадов'!Y80,0)</f>
        <v>0</v>
      </c>
      <c r="E48" s="370"/>
      <c r="F48" s="370">
        <f>IFERROR('Расчет фасадов'!Z80,0)</f>
        <v>0</v>
      </c>
      <c r="G48" s="370">
        <f>IFERROR('Расчет фасадов'!AC80,0)</f>
        <v>0</v>
      </c>
      <c r="H48" s="370">
        <f>IFERROR('Расчет фасадов'!AD80,0)</f>
        <v>0</v>
      </c>
      <c r="I48" s="370">
        <f>IFERROR('Расчет фасадов'!AB80,0)</f>
        <v>0</v>
      </c>
      <c r="J48" s="370">
        <f>IFERROR('Расчет фасадов'!AA80,0)</f>
        <v>0</v>
      </c>
      <c r="K48" s="370" t="str">
        <f>IFERROR('Расчет фасадов'!AE80,0)</f>
        <v>Фурнитура</v>
      </c>
    </row>
    <row r="49" spans="1:46" ht="21" x14ac:dyDescent="0.4">
      <c r="C49" s="370">
        <v>14</v>
      </c>
      <c r="D49" s="370">
        <f>IFERROR('Расчет фасадов'!Y81,0)</f>
        <v>0</v>
      </c>
      <c r="E49" s="370"/>
      <c r="F49" s="370">
        <f>IFERROR('Расчет фасадов'!Z81,0)</f>
        <v>0</v>
      </c>
      <c r="G49" s="370">
        <f>IFERROR('Расчет фасадов'!AC81,0)</f>
        <v>0</v>
      </c>
      <c r="H49" s="370">
        <f>IFERROR('Расчет фасадов'!AD81,0)</f>
        <v>0</v>
      </c>
      <c r="I49" s="370">
        <f>IFERROR('Расчет фасадов'!AB81,0)</f>
        <v>0</v>
      </c>
      <c r="J49" s="370">
        <f>IFERROR('Расчет фасадов'!AA81,0)</f>
        <v>0</v>
      </c>
      <c r="K49" s="370" t="str">
        <f>IFERROR('Расчет фасадов'!AE81,0)</f>
        <v>Полуфабрикаты производимые в процессе</v>
      </c>
    </row>
    <row r="50" spans="1:46" ht="21.6" thickBot="1" x14ac:dyDescent="0.45">
      <c r="A50" s="245"/>
      <c r="B50" s="245"/>
      <c r="C50" s="373">
        <v>15</v>
      </c>
      <c r="D50" s="373">
        <f>IFERROR('Расчет фасадов'!Y82,0)</f>
        <v>0</v>
      </c>
      <c r="E50" s="373"/>
      <c r="F50" s="373">
        <f>IFERROR('Расчет фасадов'!Z82,0)</f>
        <v>0</v>
      </c>
      <c r="G50" s="373">
        <f>IFERROR('Расчет фасадов'!AC82,0)</f>
        <v>0</v>
      </c>
      <c r="H50" s="373">
        <f>IFERROR('Расчет фасадов'!AD82,0)</f>
        <v>0</v>
      </c>
      <c r="I50" s="373">
        <f>IFERROR('Расчет фасадов'!AB82,0)</f>
        <v>0</v>
      </c>
      <c r="J50" s="373">
        <f>IFERROR('Расчет фасадов'!AA82,0)</f>
        <v>0</v>
      </c>
      <c r="K50" s="373" t="str">
        <f>IFERROR('Расчет фасадов'!AE82,0)</f>
        <v>Фурнитура</v>
      </c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</row>
    <row r="51" spans="1:46" ht="46.8" x14ac:dyDescent="0.3">
      <c r="B51" s="344" t="s">
        <v>521</v>
      </c>
      <c r="C51" s="344"/>
      <c r="D51" s="344" t="s">
        <v>2</v>
      </c>
      <c r="E51" s="344" t="s">
        <v>0</v>
      </c>
      <c r="F51" s="344" t="s">
        <v>233</v>
      </c>
      <c r="G51" s="345" t="s">
        <v>558</v>
      </c>
      <c r="H51" s="346" t="s">
        <v>559</v>
      </c>
      <c r="I51" s="346" t="s">
        <v>560</v>
      </c>
      <c r="J51" s="347" t="s">
        <v>149</v>
      </c>
      <c r="K51" s="348" t="s">
        <v>237</v>
      </c>
      <c r="L51" s="349" t="s">
        <v>522</v>
      </c>
      <c r="M51" s="350"/>
      <c r="N51" s="338" t="s">
        <v>14</v>
      </c>
      <c r="O51" s="338" t="s">
        <v>523</v>
      </c>
      <c r="P51" s="338" t="s">
        <v>524</v>
      </c>
      <c r="Q51" s="338" t="s">
        <v>525</v>
      </c>
      <c r="R51" s="338" t="s">
        <v>526</v>
      </c>
      <c r="S51" s="338" t="s">
        <v>527</v>
      </c>
      <c r="T51" s="338" t="s">
        <v>528</v>
      </c>
      <c r="U51" s="338" t="s">
        <v>529</v>
      </c>
      <c r="V51" s="338" t="s">
        <v>530</v>
      </c>
      <c r="W51" s="338" t="s">
        <v>531</v>
      </c>
      <c r="X51" s="338" t="s">
        <v>532</v>
      </c>
      <c r="Y51" s="351" t="s">
        <v>533</v>
      </c>
      <c r="Z51" s="338" t="s">
        <v>534</v>
      </c>
      <c r="AA51" s="338" t="s">
        <v>535</v>
      </c>
      <c r="AB51" s="352" t="s">
        <v>536</v>
      </c>
      <c r="AC51" s="338" t="s">
        <v>537</v>
      </c>
      <c r="AD51" s="338" t="s">
        <v>538</v>
      </c>
      <c r="AE51" s="338" t="s">
        <v>539</v>
      </c>
      <c r="AF51" s="338" t="s">
        <v>540</v>
      </c>
      <c r="AG51" s="338" t="s">
        <v>541</v>
      </c>
      <c r="AH51" s="338" t="s">
        <v>542</v>
      </c>
      <c r="AI51" s="338" t="s">
        <v>543</v>
      </c>
      <c r="AJ51" s="338" t="s">
        <v>379</v>
      </c>
    </row>
    <row r="52" spans="1:46" ht="21" x14ac:dyDescent="0.4">
      <c r="A52" t="str">
        <f>IF('Фасады EDGE'!$X$17&gt;0, "ВФасад", "Пусто")</f>
        <v>Пусто</v>
      </c>
      <c r="B52" s="662" t="s">
        <v>551</v>
      </c>
      <c r="C52" s="367">
        <v>1</v>
      </c>
      <c r="D52" s="367" t="str">
        <f>IFERROR('Расчет фасадов'!Y100,0)</f>
        <v>Фасад, Рамочный узкий профиль</v>
      </c>
      <c r="E52" s="367"/>
      <c r="F52" s="367">
        <f>IFERROR('Расчет фасадов'!Z100,0)</f>
        <v>0</v>
      </c>
      <c r="G52" s="367" t="str">
        <f>IFERROR('Расчет фасадов'!AC100,0)</f>
        <v>0мм-0шт</v>
      </c>
      <c r="H52" s="368">
        <f>IFERROR('Расчет фасадов'!AD100,0)</f>
        <v>0</v>
      </c>
      <c r="I52" s="367">
        <f>IFERROR('Расчет фасадов'!AB100,0)</f>
        <v>0</v>
      </c>
      <c r="J52" s="369">
        <f>IFERROR('Расчет фасадов'!AA100,0)</f>
        <v>0</v>
      </c>
      <c r="K52" s="367" t="str">
        <f>IFERROR('Расчет фасадов'!AE100,0)</f>
        <v>Полуфабрикаты производимые в процессе</v>
      </c>
      <c r="N52" t="s">
        <v>544</v>
      </c>
      <c r="O52" t="s">
        <v>545</v>
      </c>
      <c r="P52" t="str">
        <f>IFERROR('Расчет фасадов'!$B$105,0)</f>
        <v>.</v>
      </c>
      <c r="V52" t="s">
        <v>546</v>
      </c>
      <c r="W52" t="s">
        <v>546</v>
      </c>
      <c r="X52" t="s">
        <v>547</v>
      </c>
      <c r="Y52" t="s">
        <v>361</v>
      </c>
      <c r="AA52">
        <f>'Фасады EDGE'!$C$17</f>
        <v>0</v>
      </c>
      <c r="AB52" t="s">
        <v>551</v>
      </c>
      <c r="AC52">
        <f>'Фасады EDGE'!$G$17</f>
        <v>0</v>
      </c>
      <c r="AD52">
        <f>'Фасады EDGE'!$I$17</f>
        <v>0</v>
      </c>
      <c r="AJ52" s="133">
        <f>'Фасады EDGE'!$W$17</f>
        <v>0</v>
      </c>
    </row>
    <row r="53" spans="1:46" ht="21" x14ac:dyDescent="0.4">
      <c r="B53" s="662"/>
      <c r="C53" s="370">
        <v>2</v>
      </c>
      <c r="D53" s="370" t="str">
        <f>IFERROR('Расчет фасадов'!Y101,0)</f>
        <v>Фасад, Рамочный узкий профиль</v>
      </c>
      <c r="E53" s="370"/>
      <c r="F53" s="370">
        <f>IFERROR('Расчет фасадов'!Z101,0)</f>
        <v>0</v>
      </c>
      <c r="G53" s="370" t="str">
        <f>IFERROR('Расчет фасадов'!AC101,0)</f>
        <v>0мм-0шт</v>
      </c>
      <c r="H53" s="370">
        <f>IFERROR('Расчет фасадов'!AD101,0)</f>
        <v>0</v>
      </c>
      <c r="I53" s="370">
        <f>IFERROR('Расчет фасадов'!AB101,0)</f>
        <v>0</v>
      </c>
      <c r="J53" s="370">
        <f>IFERROR('Расчет фасадов'!AA101,0)</f>
        <v>0</v>
      </c>
      <c r="K53" s="370" t="str">
        <f>IFERROR('Расчет фасадов'!AE101,0)</f>
        <v>Полуфабрикаты производимые в процессе</v>
      </c>
    </row>
    <row r="54" spans="1:46" ht="21" x14ac:dyDescent="0.4">
      <c r="C54" s="370">
        <v>3</v>
      </c>
      <c r="D54" s="370" t="str">
        <f>IFERROR('Расчет фасадов'!Y102,0)</f>
        <v>Фасад, Рамочный узкий профиль</v>
      </c>
      <c r="E54" s="370"/>
      <c r="F54" s="370">
        <f>IFERROR('Расчет фасадов'!Z102,0)</f>
        <v>0</v>
      </c>
      <c r="G54" s="370" t="str">
        <f>IFERROR('Расчет фасадов'!AC102,0)</f>
        <v>0мм-0шт</v>
      </c>
      <c r="H54" s="370">
        <f>IFERROR('Расчет фасадов'!AD102,0)</f>
        <v>0</v>
      </c>
      <c r="I54" s="370">
        <f>IFERROR('Расчет фасадов'!AB102,0)</f>
        <v>0</v>
      </c>
      <c r="J54" s="370">
        <f>IFERROR('Расчет фасадов'!AA102,0)</f>
        <v>0</v>
      </c>
      <c r="K54" s="370" t="str">
        <f>IFERROR('Расчет фасадов'!AE102,0)</f>
        <v>Полуфабрикаты производимые в процессе</v>
      </c>
    </row>
    <row r="55" spans="1:46" ht="21" x14ac:dyDescent="0.4">
      <c r="C55" s="370">
        <v>4</v>
      </c>
      <c r="D55" s="370" t="str">
        <f>IFERROR('Расчет фасадов'!Y103,0)</f>
        <v>Фасад, Рамочный узкий профиль</v>
      </c>
      <c r="E55" s="370"/>
      <c r="F55" s="370">
        <f>IFERROR('Расчет фасадов'!Z103,0)</f>
        <v>0</v>
      </c>
      <c r="G55" s="370" t="str">
        <f>IFERROR('Расчет фасадов'!AC103,0)</f>
        <v>0мм-0шт</v>
      </c>
      <c r="H55" s="370">
        <f>IFERROR('Расчет фасадов'!AD103,0)</f>
        <v>0</v>
      </c>
      <c r="I55" s="370">
        <f>IFERROR('Расчет фасадов'!AB103,0)</f>
        <v>0</v>
      </c>
      <c r="J55" s="370">
        <f>IFERROR('Расчет фасадов'!AA103,0)</f>
        <v>0</v>
      </c>
      <c r="K55" s="370" t="str">
        <f>IFERROR('Расчет фасадов'!AE103,0)</f>
        <v>Полуфабрикаты производимые в процессе</v>
      </c>
    </row>
    <row r="56" spans="1:46" ht="21" x14ac:dyDescent="0.4">
      <c r="C56" s="370">
        <v>5</v>
      </c>
      <c r="D56" s="370">
        <f>IFERROR('Расчет фасадов'!Y104,0)</f>
        <v>0</v>
      </c>
      <c r="E56" s="370"/>
      <c r="F56" s="370" t="str">
        <f>IFERROR('Расчет фасадов'!Z104,0)</f>
        <v>.</v>
      </c>
      <c r="G56" s="370">
        <f>IFERROR('Расчет фасадов'!AC104,0)</f>
        <v>0</v>
      </c>
      <c r="H56" s="370">
        <f>IFERROR('Расчет фасадов'!AD104,0)</f>
        <v>0</v>
      </c>
      <c r="I56" s="370" t="str">
        <f>IFERROR('Расчет фасадов'!AB104,0)</f>
        <v>В -6, Ш -6</v>
      </c>
      <c r="J56" s="370">
        <f>IFERROR('Расчет фасадов'!AA104,0)</f>
        <v>0</v>
      </c>
      <c r="K56" s="370" t="str">
        <f>IFERROR('Расчет фасадов'!AE104,0)</f>
        <v>Вставки</v>
      </c>
    </row>
    <row r="57" spans="1:46" ht="21" x14ac:dyDescent="0.4">
      <c r="C57" s="370">
        <v>6</v>
      </c>
      <c r="D57" s="370" t="str">
        <f>IFERROR('Расчет фасадов'!Y105,0)</f>
        <v>Воздушно-пузырьковая пленка 3-10-115 (1,2*100)</v>
      </c>
      <c r="E57" s="370"/>
      <c r="F57" s="370" t="str">
        <f>IFERROR('Расчет фасадов'!Z105,0)</f>
        <v>3-10-115</v>
      </c>
      <c r="G57" s="370">
        <f>IFERROR('Расчет фасадов'!AC105,0)</f>
        <v>0</v>
      </c>
      <c r="H57" s="370">
        <f>IFERROR('Расчет фасадов'!AD105,0)</f>
        <v>0</v>
      </c>
      <c r="I57" s="370">
        <f>IFERROR('Расчет фасадов'!AB105,0)</f>
        <v>0</v>
      </c>
      <c r="J57" s="370">
        <f>IFERROR('Расчет фасадов'!AA105,0)</f>
        <v>0</v>
      </c>
      <c r="K57" s="370" t="str">
        <f>IFERROR('Расчет фасадов'!AE105,0)</f>
        <v>Полуфабрикаты производимые в процессе</v>
      </c>
    </row>
    <row r="58" spans="1:46" ht="21" x14ac:dyDescent="0.4">
      <c r="C58" s="370">
        <v>7</v>
      </c>
      <c r="D58" s="370" t="str">
        <f>IFERROR('Расчет фасадов'!Y106,0)</f>
        <v>Новофлекс П 40-50 (L3100)</v>
      </c>
      <c r="E58" s="370"/>
      <c r="F58" s="370" t="str">
        <f>IFERROR('Расчет фасадов'!Z106,0)</f>
        <v>П 40-50</v>
      </c>
      <c r="G58" s="370">
        <f>IFERROR('Расчет фасадов'!AC106,0)</f>
        <v>0</v>
      </c>
      <c r="H58" s="370">
        <f>IFERROR('Расчет фасадов'!AD106,0)</f>
        <v>0</v>
      </c>
      <c r="I58" s="370">
        <f>IFERROR('Расчет фасадов'!AB106,0)</f>
        <v>0</v>
      </c>
      <c r="J58" s="370">
        <f>IFERROR('Расчет фасадов'!AA106,0)</f>
        <v>0</v>
      </c>
      <c r="K58" s="370" t="str">
        <f>IFERROR('Расчет фасадов'!AE106,0)</f>
        <v>Полуфабрикаты производимые в процессе</v>
      </c>
    </row>
    <row r="59" spans="1:46" ht="21" x14ac:dyDescent="0.4">
      <c r="C59" s="370">
        <v>8</v>
      </c>
      <c r="D59" s="370" t="str">
        <f>IFERROR('Расчет фасадов'!Y107,0)</f>
        <v>Стрейч плёнка 500*300 (087.0800.50) первичная</v>
      </c>
      <c r="E59" s="370"/>
      <c r="F59" s="370" t="str">
        <f>IFERROR('Расчет фасадов'!Z107,0)</f>
        <v>087.0800.50</v>
      </c>
      <c r="G59" s="370">
        <f>IFERROR('Расчет фасадов'!AC107,0)</f>
        <v>0</v>
      </c>
      <c r="H59" s="370">
        <f>IFERROR('Расчет фасадов'!AD107,0)</f>
        <v>0</v>
      </c>
      <c r="I59" s="370">
        <f>IFERROR('Расчет фасадов'!AB107,0)</f>
        <v>0</v>
      </c>
      <c r="J59" s="370">
        <f>IFERROR('Расчет фасадов'!AA107,0)</f>
        <v>0</v>
      </c>
      <c r="K59" s="370" t="str">
        <f>IFERROR('Расчет фасадов'!AE107,0)</f>
        <v>Полуфабрикаты производимые в процессе</v>
      </c>
    </row>
    <row r="60" spans="1:46" ht="21" x14ac:dyDescent="0.4">
      <c r="C60" s="370">
        <v>9</v>
      </c>
      <c r="D60" s="370" t="str">
        <f>IFERROR('Расчет фасадов'!Y108,0)</f>
        <v>Скотч АРИСТО 2021 06.21</v>
      </c>
      <c r="E60" s="370"/>
      <c r="F60" s="370" t="str">
        <f>IFERROR('Расчет фасадов'!Z108,0)</f>
        <v>ARR-0335</v>
      </c>
      <c r="G60" s="370">
        <f>IFERROR('Расчет фасадов'!AC108,0)</f>
        <v>0</v>
      </c>
      <c r="H60" s="370">
        <f>IFERROR('Расчет фасадов'!AD108,0)</f>
        <v>0</v>
      </c>
      <c r="I60" s="370">
        <f>IFERROR('Расчет фасадов'!AB108,0)</f>
        <v>0</v>
      </c>
      <c r="J60" s="370">
        <f>IFERROR('Расчет фасадов'!AA108,0)</f>
        <v>0</v>
      </c>
      <c r="K60" s="370" t="str">
        <f>IFERROR('Расчет фасадов'!AE108,0)</f>
        <v>Полуфабрикаты производимые в процессе</v>
      </c>
    </row>
    <row r="61" spans="1:46" ht="21" x14ac:dyDescent="0.4">
      <c r="C61" s="370">
        <v>10</v>
      </c>
      <c r="D61" s="370" t="str">
        <f>IFERROR('Расчет фасадов'!Y109,0)</f>
        <v>Клейкая лента прозрачная 72мм*45мм*50мкм</v>
      </c>
      <c r="E61" s="370"/>
      <c r="F61" s="370" t="str">
        <f>IFERROR('Расчет фасадов'!Z109,0)</f>
        <v>0800.50</v>
      </c>
      <c r="G61" s="370">
        <f>IFERROR('Расчет фасадов'!AC109,0)</f>
        <v>0</v>
      </c>
      <c r="H61" s="370">
        <f>IFERROR('Расчет фасадов'!AD109,0)</f>
        <v>0</v>
      </c>
      <c r="I61" s="370">
        <f>IFERROR('Расчет фасадов'!AB109,0)</f>
        <v>0</v>
      </c>
      <c r="J61" s="370">
        <f>IFERROR('Расчет фасадов'!AA109,0)</f>
        <v>0</v>
      </c>
      <c r="K61" s="370" t="str">
        <f>IFERROR('Расчет фасадов'!AE109,0)</f>
        <v>Полуфабрикаты производимые в процессе</v>
      </c>
    </row>
    <row r="62" spans="1:46" ht="21" x14ac:dyDescent="0.4">
      <c r="C62" s="370">
        <v>11</v>
      </c>
      <c r="D62" s="370" t="str">
        <f>IFERROR('Расчет фасадов'!Y110,0)</f>
        <v>Клейкая ленка "ОСТОРОЖНО! СТЕКЛО"</v>
      </c>
      <c r="E62" s="370"/>
      <c r="F62" s="370" t="str">
        <f>IFERROR('Расчет фасадов'!Z110,0)</f>
        <v>43скл</v>
      </c>
      <c r="G62" s="370">
        <f>IFERROR('Расчет фасадов'!AC110,0)</f>
        <v>0</v>
      </c>
      <c r="H62" s="370">
        <f>IFERROR('Расчет фасадов'!AD110,0)</f>
        <v>0</v>
      </c>
      <c r="I62" s="370">
        <f>IFERROR('Расчет фасадов'!AB110,0)</f>
        <v>0</v>
      </c>
      <c r="J62" s="370">
        <f>IFERROR('Расчет фасадов'!AA110,0)</f>
        <v>1</v>
      </c>
      <c r="K62" s="370" t="str">
        <f>IFERROR('Расчет фасадов'!AE110,0)</f>
        <v>Полуфабрикаты производимые в процессе</v>
      </c>
    </row>
    <row r="63" spans="1:46" ht="21" x14ac:dyDescent="0.4">
      <c r="C63" s="370">
        <v>12</v>
      </c>
      <c r="D63" s="370" t="str">
        <f>IFERROR('Расчет фасадов'!Y111,0)</f>
        <v>Пленка-мешок полиэтиленовый 250*700*0,1</v>
      </c>
      <c r="E63" s="370"/>
      <c r="F63" s="370" t="str">
        <f>IFERROR('Расчет фасадов'!Z111,0)</f>
        <v>250*700*0,1</v>
      </c>
      <c r="G63" s="370">
        <f>IFERROR('Расчет фасадов'!AC111,0)</f>
        <v>0</v>
      </c>
      <c r="H63" s="370">
        <f>IFERROR('Расчет фасадов'!AD111,0)</f>
        <v>1</v>
      </c>
      <c r="I63" s="370">
        <f>IFERROR('Расчет фасадов'!AB111,0)</f>
        <v>0</v>
      </c>
      <c r="J63" s="370">
        <f>IFERROR('Расчет фасадов'!AA111,0)</f>
        <v>1</v>
      </c>
      <c r="K63" s="370" t="str">
        <f>IFERROR('Расчет фасадов'!AE111,0)</f>
        <v>Полуфабрикаты производимые в процессе</v>
      </c>
    </row>
    <row r="64" spans="1:46" ht="21" x14ac:dyDescent="0.4">
      <c r="C64" s="370">
        <v>13</v>
      </c>
      <c r="D64" s="370">
        <f>IFERROR('Расчет фасадов'!Y112,0)</f>
        <v>0</v>
      </c>
      <c r="E64" s="370"/>
      <c r="F64" s="370">
        <f>IFERROR('Расчет фасадов'!Z112,0)</f>
        <v>0</v>
      </c>
      <c r="G64" s="370">
        <f>IFERROR('Расчет фасадов'!AC112,0)</f>
        <v>0</v>
      </c>
      <c r="H64" s="370">
        <f>IFERROR('Расчет фасадов'!AD112,0)</f>
        <v>0</v>
      </c>
      <c r="I64" s="370">
        <f>IFERROR('Расчет фасадов'!AB112,0)</f>
        <v>0</v>
      </c>
      <c r="J64" s="370">
        <f>IFERROR('Расчет фасадов'!AA112,0)</f>
        <v>0</v>
      </c>
      <c r="K64" s="370" t="str">
        <f>IFERROR('Расчет фасадов'!AE112,0)</f>
        <v>Фурнитура</v>
      </c>
    </row>
    <row r="65" spans="1:46" ht="21" x14ac:dyDescent="0.4">
      <c r="C65" s="370">
        <v>14</v>
      </c>
      <c r="D65" s="370">
        <f>IFERROR('Расчет фасадов'!Y113,0)</f>
        <v>0</v>
      </c>
      <c r="E65" s="370"/>
      <c r="F65" s="370">
        <f>IFERROR('Расчет фасадов'!Z113,0)</f>
        <v>0</v>
      </c>
      <c r="G65" s="370">
        <f>IFERROR('Расчет фасадов'!AC113,0)</f>
        <v>0</v>
      </c>
      <c r="H65" s="370">
        <f>IFERROR('Расчет фасадов'!AD113,0)</f>
        <v>0</v>
      </c>
      <c r="I65" s="370">
        <f>IFERROR('Расчет фасадов'!AB113,0)</f>
        <v>0</v>
      </c>
      <c r="J65" s="370">
        <f>IFERROR('Расчет фасадов'!AA113,0)</f>
        <v>0</v>
      </c>
      <c r="K65" s="370" t="str">
        <f>IFERROR('Расчет фасадов'!AE113,0)</f>
        <v>Полуфабрикаты производимые в процессе</v>
      </c>
    </row>
    <row r="66" spans="1:46" ht="21.6" thickBot="1" x14ac:dyDescent="0.45">
      <c r="A66" s="245"/>
      <c r="B66" s="245"/>
      <c r="C66" s="373">
        <v>15</v>
      </c>
      <c r="D66" s="373">
        <f>IFERROR('Расчет фасадов'!Y114,0)</f>
        <v>0</v>
      </c>
      <c r="E66" s="373"/>
      <c r="F66" s="373">
        <f>IFERROR('Расчет фасадов'!Z114,0)</f>
        <v>0</v>
      </c>
      <c r="G66" s="373">
        <f>IFERROR('Расчет фасадов'!AC114,0)</f>
        <v>0</v>
      </c>
      <c r="H66" s="373">
        <f>IFERROR('Расчет фасадов'!AD114,0)</f>
        <v>0</v>
      </c>
      <c r="I66" s="373">
        <f>IFERROR('Расчет фасадов'!AB114,0)</f>
        <v>0</v>
      </c>
      <c r="J66" s="373">
        <f>IFERROR('Расчет фасадов'!AA114,0)</f>
        <v>0</v>
      </c>
      <c r="K66" s="373" t="str">
        <f>IFERROR('Расчет фасадов'!AE114,0)</f>
        <v>Фурнитура</v>
      </c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</row>
    <row r="67" spans="1:46" ht="46.8" x14ac:dyDescent="0.3">
      <c r="B67" s="344" t="s">
        <v>521</v>
      </c>
      <c r="C67" s="344"/>
      <c r="D67" s="344" t="s">
        <v>2</v>
      </c>
      <c r="E67" s="344" t="s">
        <v>0</v>
      </c>
      <c r="F67" s="344" t="s">
        <v>233</v>
      </c>
      <c r="G67" s="345" t="s">
        <v>558</v>
      </c>
      <c r="H67" s="346" t="s">
        <v>559</v>
      </c>
      <c r="I67" s="346" t="s">
        <v>560</v>
      </c>
      <c r="J67" s="347" t="s">
        <v>149</v>
      </c>
      <c r="K67" s="348" t="s">
        <v>237</v>
      </c>
      <c r="L67" s="349" t="s">
        <v>522</v>
      </c>
      <c r="M67" s="350"/>
      <c r="N67" s="338" t="s">
        <v>14</v>
      </c>
      <c r="O67" s="338" t="s">
        <v>523</v>
      </c>
      <c r="P67" s="338" t="s">
        <v>524</v>
      </c>
      <c r="Q67" s="338" t="s">
        <v>525</v>
      </c>
      <c r="R67" s="338" t="s">
        <v>526</v>
      </c>
      <c r="S67" s="338" t="s">
        <v>527</v>
      </c>
      <c r="T67" s="338" t="s">
        <v>528</v>
      </c>
      <c r="U67" s="338" t="s">
        <v>529</v>
      </c>
      <c r="V67" s="338" t="s">
        <v>530</v>
      </c>
      <c r="W67" s="338" t="s">
        <v>531</v>
      </c>
      <c r="X67" s="338" t="s">
        <v>532</v>
      </c>
      <c r="Y67" s="351" t="s">
        <v>533</v>
      </c>
      <c r="Z67" s="338" t="s">
        <v>534</v>
      </c>
      <c r="AA67" s="338" t="s">
        <v>535</v>
      </c>
      <c r="AB67" s="352" t="s">
        <v>536</v>
      </c>
      <c r="AC67" s="338" t="s">
        <v>537</v>
      </c>
      <c r="AD67" s="338" t="s">
        <v>538</v>
      </c>
      <c r="AE67" s="338" t="s">
        <v>539</v>
      </c>
      <c r="AF67" s="338" t="s">
        <v>540</v>
      </c>
      <c r="AG67" s="338" t="s">
        <v>541</v>
      </c>
      <c r="AH67" s="338" t="s">
        <v>542</v>
      </c>
      <c r="AI67" s="338" t="s">
        <v>543</v>
      </c>
      <c r="AJ67" s="338" t="s">
        <v>379</v>
      </c>
    </row>
    <row r="68" spans="1:46" ht="21" x14ac:dyDescent="0.4">
      <c r="A68" t="str">
        <f>IF('Фасады EDGE'!$X$20&gt;0, "ВФасад", "Пусто")</f>
        <v>Пусто</v>
      </c>
      <c r="B68" s="662" t="s">
        <v>552</v>
      </c>
      <c r="C68" s="367">
        <v>1</v>
      </c>
      <c r="D68" s="367" t="str">
        <f>IFERROR('Расчет фасадов'!Y132,0)</f>
        <v>Фасад, Рамочный узкий профиль</v>
      </c>
      <c r="E68" s="367"/>
      <c r="F68" s="367">
        <f>IFERROR('Расчет фасадов'!Z132,0)</f>
        <v>0</v>
      </c>
      <c r="G68" s="367" t="str">
        <f>IFERROR('Расчет фасадов'!AC132,0)</f>
        <v>0мм-0шт</v>
      </c>
      <c r="H68" s="368">
        <f>IFERROR('Расчет фасадов'!AD132,0)</f>
        <v>0</v>
      </c>
      <c r="I68" s="367">
        <f>IFERROR('Расчет фасадов'!AB132,0)</f>
        <v>0</v>
      </c>
      <c r="J68" s="369">
        <f>IFERROR('Расчет фасадов'!AA132,0)</f>
        <v>0</v>
      </c>
      <c r="K68" s="367" t="str">
        <f>IFERROR('Расчет фасадов'!AE132,0)</f>
        <v>Полуфабрикаты производимые в процессе</v>
      </c>
      <c r="N68" t="s">
        <v>544</v>
      </c>
      <c r="O68" t="s">
        <v>545</v>
      </c>
      <c r="P68" t="str">
        <f>IFERROR('Расчет фасадов'!$B$137,0)</f>
        <v>.</v>
      </c>
      <c r="V68" t="s">
        <v>546</v>
      </c>
      <c r="W68" t="s">
        <v>546</v>
      </c>
      <c r="X68" t="s">
        <v>547</v>
      </c>
      <c r="Y68" t="s">
        <v>361</v>
      </c>
      <c r="AA68">
        <f>'Фасады EDGE'!$C$20</f>
        <v>0</v>
      </c>
      <c r="AB68" t="s">
        <v>552</v>
      </c>
      <c r="AC68">
        <f>'Фасады EDGE'!$G$20</f>
        <v>0</v>
      </c>
      <c r="AD68">
        <f>'Фасады EDGE'!$I$20</f>
        <v>0</v>
      </c>
      <c r="AJ68" s="133">
        <f>'Фасады EDGE'!$W$20</f>
        <v>0</v>
      </c>
    </row>
    <row r="69" spans="1:46" ht="21" x14ac:dyDescent="0.4">
      <c r="B69" s="662"/>
      <c r="C69" s="370">
        <v>2</v>
      </c>
      <c r="D69" s="370" t="str">
        <f>IFERROR('Расчет фасадов'!Y133,0)</f>
        <v>Фасад, Рамочный узкий профиль</v>
      </c>
      <c r="E69" s="370"/>
      <c r="F69" s="370">
        <f>IFERROR('Расчет фасадов'!Z133,0)</f>
        <v>0</v>
      </c>
      <c r="G69" s="370" t="str">
        <f>IFERROR('Расчет фасадов'!AC133,0)</f>
        <v>0мм-0шт</v>
      </c>
      <c r="H69" s="371">
        <f>IFERROR('Расчет фасадов'!AD133,0)</f>
        <v>0</v>
      </c>
      <c r="I69" s="370">
        <f>IFERROR('Расчет фасадов'!AB133,0)</f>
        <v>0</v>
      </c>
      <c r="J69" s="372">
        <f>IFERROR('Расчет фасадов'!AA133,0)</f>
        <v>0</v>
      </c>
      <c r="K69" s="370" t="str">
        <f>IFERROR('Расчет фасадов'!AE133,0)</f>
        <v>Полуфабрикаты производимые в процессе</v>
      </c>
    </row>
    <row r="70" spans="1:46" ht="21" x14ac:dyDescent="0.4">
      <c r="C70" s="370">
        <v>3</v>
      </c>
      <c r="D70" s="370" t="str">
        <f>IFERROR('Расчет фасадов'!Y134,0)</f>
        <v>Фасад, Рамочный узкий профиль</v>
      </c>
      <c r="E70" s="370"/>
      <c r="F70" s="370">
        <f>IFERROR('Расчет фасадов'!Z134,0)</f>
        <v>0</v>
      </c>
      <c r="G70" s="370" t="str">
        <f>IFERROR('Расчет фасадов'!AC134,0)</f>
        <v>0мм-0шт</v>
      </c>
      <c r="H70" s="371">
        <f>IFERROR('Расчет фасадов'!AD134,0)</f>
        <v>0</v>
      </c>
      <c r="I70" s="370">
        <f>IFERROR('Расчет фасадов'!AB134,0)</f>
        <v>0</v>
      </c>
      <c r="J70" s="372">
        <f>IFERROR('Расчет фасадов'!AA134,0)</f>
        <v>0</v>
      </c>
      <c r="K70" s="370" t="str">
        <f>IFERROR('Расчет фасадов'!AE134,0)</f>
        <v>Полуфабрикаты производимые в процессе</v>
      </c>
    </row>
    <row r="71" spans="1:46" ht="21" x14ac:dyDescent="0.4">
      <c r="C71" s="370">
        <v>4</v>
      </c>
      <c r="D71" s="370" t="str">
        <f>IFERROR('Расчет фасадов'!Y135,0)</f>
        <v>Фасад, Рамочный узкий профиль</v>
      </c>
      <c r="E71" s="370"/>
      <c r="F71" s="370">
        <f>IFERROR('Расчет фасадов'!Z135,0)</f>
        <v>0</v>
      </c>
      <c r="G71" s="370" t="str">
        <f>IFERROR('Расчет фасадов'!AC135,0)</f>
        <v>0мм-0шт</v>
      </c>
      <c r="H71" s="371">
        <f>IFERROR('Расчет фасадов'!AD135,0)</f>
        <v>0</v>
      </c>
      <c r="I71" s="370">
        <f>IFERROR('Расчет фасадов'!AB135,0)</f>
        <v>0</v>
      </c>
      <c r="J71" s="372">
        <f>IFERROR('Расчет фасадов'!AA135,0)</f>
        <v>0</v>
      </c>
      <c r="K71" s="370" t="str">
        <f>IFERROR('Расчет фасадов'!AE135,0)</f>
        <v>Полуфабрикаты производимые в процессе</v>
      </c>
    </row>
    <row r="72" spans="1:46" ht="21" x14ac:dyDescent="0.4">
      <c r="C72" s="370">
        <v>5</v>
      </c>
      <c r="D72" s="370">
        <f>IFERROR('Расчет фасадов'!Y136,0)</f>
        <v>0</v>
      </c>
      <c r="E72" s="370"/>
      <c r="F72" s="370" t="str">
        <f>IFERROR('Расчет фасадов'!Z136,0)</f>
        <v>.</v>
      </c>
      <c r="G72" s="370">
        <f>IFERROR('Расчет фасадов'!AC136,0)</f>
        <v>0</v>
      </c>
      <c r="H72" s="371">
        <f>IFERROR('Расчет фасадов'!AD136,0)</f>
        <v>0</v>
      </c>
      <c r="I72" s="370" t="str">
        <f>IFERROR('Расчет фасадов'!AB136,0)</f>
        <v>В -6, Ш -6</v>
      </c>
      <c r="J72" s="372">
        <f>IFERROR('Расчет фасадов'!AA136,0)</f>
        <v>0</v>
      </c>
      <c r="K72" s="370" t="str">
        <f>IFERROR('Расчет фасадов'!AE136,0)</f>
        <v>Вставки</v>
      </c>
    </row>
    <row r="73" spans="1:46" ht="21" x14ac:dyDescent="0.4">
      <c r="C73" s="370">
        <v>6</v>
      </c>
      <c r="D73" s="370" t="str">
        <f>IFERROR('Расчет фасадов'!Y137,0)</f>
        <v>Воздушно-пузырьковая пленка 3-10-115 (1,2*100)</v>
      </c>
      <c r="E73" s="370"/>
      <c r="F73" s="370" t="str">
        <f>IFERROR('Расчет фасадов'!Z137,0)</f>
        <v>3-10-115</v>
      </c>
      <c r="G73" s="370">
        <f>IFERROR('Расчет фасадов'!AC137,0)</f>
        <v>0</v>
      </c>
      <c r="H73" s="371">
        <f>IFERROR('Расчет фасадов'!AD137,0)</f>
        <v>0</v>
      </c>
      <c r="I73" s="370">
        <f>IFERROR('Расчет фасадов'!AB137,0)</f>
        <v>0</v>
      </c>
      <c r="J73" s="372">
        <f>IFERROR('Расчет фасадов'!AA137,0)</f>
        <v>0</v>
      </c>
      <c r="K73" s="370" t="str">
        <f>IFERROR('Расчет фасадов'!AE137,0)</f>
        <v>Полуфабрикаты производимые в процессе</v>
      </c>
    </row>
    <row r="74" spans="1:46" ht="21" x14ac:dyDescent="0.4">
      <c r="C74" s="370">
        <v>7</v>
      </c>
      <c r="D74" s="370" t="str">
        <f>IFERROR('Расчет фасадов'!Y138,0)</f>
        <v>Новофлекс П 40-50 (L3100)</v>
      </c>
      <c r="E74" s="370"/>
      <c r="F74" s="370" t="str">
        <f>IFERROR('Расчет фасадов'!Z138,0)</f>
        <v>П 40-50</v>
      </c>
      <c r="G74" s="370">
        <f>IFERROR('Расчет фасадов'!AC138,0)</f>
        <v>0</v>
      </c>
      <c r="H74" s="371">
        <f>IFERROR('Расчет фасадов'!AD138,0)</f>
        <v>0</v>
      </c>
      <c r="I74" s="370">
        <f>IFERROR('Расчет фасадов'!AB138,0)</f>
        <v>0</v>
      </c>
      <c r="J74" s="372">
        <f>IFERROR('Расчет фасадов'!AA138,0)</f>
        <v>0</v>
      </c>
      <c r="K74" s="370" t="str">
        <f>IFERROR('Расчет фасадов'!AE138,0)</f>
        <v>Полуфабрикаты производимые в процессе</v>
      </c>
    </row>
    <row r="75" spans="1:46" ht="21" x14ac:dyDescent="0.4">
      <c r="C75" s="370">
        <v>8</v>
      </c>
      <c r="D75" s="370" t="str">
        <f>IFERROR('Расчет фасадов'!Y139,0)</f>
        <v>Стрейч плёнка 500*300 (087.0800.50) первичная</v>
      </c>
      <c r="E75" s="370"/>
      <c r="F75" s="370" t="str">
        <f>IFERROR('Расчет фасадов'!Z139,0)</f>
        <v>087.0800.50</v>
      </c>
      <c r="G75" s="370">
        <f>IFERROR('Расчет фасадов'!AC139,0)</f>
        <v>0</v>
      </c>
      <c r="H75" s="371">
        <f>IFERROR('Расчет фасадов'!AD139,0)</f>
        <v>0</v>
      </c>
      <c r="I75" s="370">
        <f>IFERROR('Расчет фасадов'!AB139,0)</f>
        <v>0</v>
      </c>
      <c r="J75" s="372">
        <f>IFERROR('Расчет фасадов'!AA139,0)</f>
        <v>0</v>
      </c>
      <c r="K75" s="370" t="str">
        <f>IFERROR('Расчет фасадов'!AE139,0)</f>
        <v>Полуфабрикаты производимые в процессе</v>
      </c>
    </row>
    <row r="76" spans="1:46" ht="21" x14ac:dyDescent="0.4">
      <c r="C76" s="370">
        <v>9</v>
      </c>
      <c r="D76" s="370" t="str">
        <f>IFERROR('Расчет фасадов'!Y140,0)</f>
        <v>Скотч АРИСТО 2021 06.21</v>
      </c>
      <c r="E76" s="370"/>
      <c r="F76" s="370" t="str">
        <f>IFERROR('Расчет фасадов'!Z140,0)</f>
        <v>ARR-0335</v>
      </c>
      <c r="G76" s="370">
        <f>IFERROR('Расчет фасадов'!AC140,0)</f>
        <v>0</v>
      </c>
      <c r="H76" s="371">
        <f>IFERROR('Расчет фасадов'!AD140,0)</f>
        <v>0</v>
      </c>
      <c r="I76" s="370">
        <f>IFERROR('Расчет фасадов'!AB140,0)</f>
        <v>0</v>
      </c>
      <c r="J76" s="372">
        <f>IFERROR('Расчет фасадов'!AA140,0)</f>
        <v>0</v>
      </c>
      <c r="K76" s="370" t="str">
        <f>IFERROR('Расчет фасадов'!AE140,0)</f>
        <v>Полуфабрикаты производимые в процессе</v>
      </c>
    </row>
    <row r="77" spans="1:46" ht="21" x14ac:dyDescent="0.4">
      <c r="C77" s="370">
        <v>10</v>
      </c>
      <c r="D77" s="370" t="str">
        <f>IFERROR('Расчет фасадов'!Y141,0)</f>
        <v>Клейкая лента прозрачная 72мм*45мм*50мкм</v>
      </c>
      <c r="E77" s="370"/>
      <c r="F77" s="370" t="str">
        <f>IFERROR('Расчет фасадов'!Z141,0)</f>
        <v>0800.50</v>
      </c>
      <c r="G77" s="370">
        <f>IFERROR('Расчет фасадов'!AC141,0)</f>
        <v>0</v>
      </c>
      <c r="H77" s="371">
        <f>IFERROR('Расчет фасадов'!AD141,0)</f>
        <v>0</v>
      </c>
      <c r="I77" s="370">
        <f>IFERROR('Расчет фасадов'!AB141,0)</f>
        <v>0</v>
      </c>
      <c r="J77" s="372">
        <f>IFERROR('Расчет фасадов'!AA141,0)</f>
        <v>0</v>
      </c>
      <c r="K77" s="370" t="str">
        <f>IFERROR('Расчет фасадов'!AE141,0)</f>
        <v>Полуфабрикаты производимые в процессе</v>
      </c>
    </row>
    <row r="78" spans="1:46" ht="21" x14ac:dyDescent="0.4">
      <c r="C78" s="370">
        <v>11</v>
      </c>
      <c r="D78" s="370" t="str">
        <f>IFERROR('Расчет фасадов'!Y142,0)</f>
        <v>Клейкая ленка "ОСТОРОЖНО! СТЕКЛО"</v>
      </c>
      <c r="E78" s="370"/>
      <c r="F78" s="370" t="str">
        <f>IFERROR('Расчет фасадов'!Z142,0)</f>
        <v>43скл</v>
      </c>
      <c r="G78" s="370">
        <f>IFERROR('Расчет фасадов'!AC142,0)</f>
        <v>0</v>
      </c>
      <c r="H78" s="371">
        <f>IFERROR('Расчет фасадов'!AD142,0)</f>
        <v>0</v>
      </c>
      <c r="I78" s="370">
        <f>IFERROR('Расчет фасадов'!AB142,0)</f>
        <v>0</v>
      </c>
      <c r="J78" s="372">
        <f>IFERROR('Расчет фасадов'!AA142,0)</f>
        <v>1</v>
      </c>
      <c r="K78" s="370" t="str">
        <f>IFERROR('Расчет фасадов'!AE142,0)</f>
        <v>Полуфабрикаты производимые в процессе</v>
      </c>
    </row>
    <row r="79" spans="1:46" ht="21" x14ac:dyDescent="0.4">
      <c r="C79" s="370">
        <v>12</v>
      </c>
      <c r="D79" s="370" t="str">
        <f>IFERROR('Расчет фасадов'!Y143,0)</f>
        <v>Пленка-мешок полиэтиленовый 250*700*0,1</v>
      </c>
      <c r="E79" s="370"/>
      <c r="F79" s="370" t="str">
        <f>IFERROR('Расчет фасадов'!Z143,0)</f>
        <v>250*700*0,1</v>
      </c>
      <c r="G79" s="370">
        <f>IFERROR('Расчет фасадов'!AC143,0)</f>
        <v>0</v>
      </c>
      <c r="H79" s="371">
        <f>IFERROR('Расчет фасадов'!AD143,0)</f>
        <v>1</v>
      </c>
      <c r="I79" s="370">
        <f>IFERROR('Расчет фасадов'!AB143,0)</f>
        <v>0</v>
      </c>
      <c r="J79" s="372">
        <f>IFERROR('Расчет фасадов'!AA143,0)</f>
        <v>1</v>
      </c>
      <c r="K79" s="370" t="str">
        <f>IFERROR('Расчет фасадов'!AE143,0)</f>
        <v>Полуфабрикаты производимые в процессе</v>
      </c>
    </row>
    <row r="80" spans="1:46" ht="21" x14ac:dyDescent="0.4">
      <c r="C80" s="370">
        <v>13</v>
      </c>
      <c r="D80" s="370">
        <f>IFERROR('Расчет фасадов'!Y144,0)</f>
        <v>0</v>
      </c>
      <c r="E80" s="370"/>
      <c r="F80" s="370">
        <f>IFERROR('Расчет фасадов'!Z144,0)</f>
        <v>0</v>
      </c>
      <c r="G80" s="370">
        <f>IFERROR('Расчет фасадов'!AC144,0)</f>
        <v>0</v>
      </c>
      <c r="H80" s="371">
        <f>IFERROR('Расчет фасадов'!AD144,0)</f>
        <v>0</v>
      </c>
      <c r="I80" s="370">
        <f>IFERROR('Расчет фасадов'!AB144,0)</f>
        <v>0</v>
      </c>
      <c r="J80" s="372">
        <f>IFERROR('Расчет фасадов'!AA144,0)</f>
        <v>0</v>
      </c>
      <c r="K80" s="370" t="str">
        <f>IFERROR('Расчет фасадов'!AE144,0)</f>
        <v>Фурнитура</v>
      </c>
    </row>
    <row r="81" spans="1:46" ht="21" x14ac:dyDescent="0.4">
      <c r="C81" s="370">
        <v>14</v>
      </c>
      <c r="D81" s="370">
        <f>IFERROR('Расчет фасадов'!Y145,0)</f>
        <v>0</v>
      </c>
      <c r="E81" s="370"/>
      <c r="F81" s="370">
        <f>IFERROR('Расчет фасадов'!Z145,0)</f>
        <v>0</v>
      </c>
      <c r="G81" s="370">
        <f>IFERROR('Расчет фасадов'!AC145,0)</f>
        <v>0</v>
      </c>
      <c r="H81" s="371">
        <f>IFERROR('Расчет фасадов'!AD145,0)</f>
        <v>0</v>
      </c>
      <c r="I81" s="370">
        <f>IFERROR('Расчет фасадов'!AB145,0)</f>
        <v>0</v>
      </c>
      <c r="J81" s="372">
        <f>IFERROR('Расчет фасадов'!AA145,0)</f>
        <v>0</v>
      </c>
      <c r="K81" s="370" t="str">
        <f>IFERROR('Расчет фасадов'!AE145,0)</f>
        <v>Полуфабрикаты производимые в процессе</v>
      </c>
    </row>
    <row r="82" spans="1:46" ht="21.6" thickBot="1" x14ac:dyDescent="0.45">
      <c r="A82" s="245"/>
      <c r="B82" s="245"/>
      <c r="C82" s="373">
        <v>15</v>
      </c>
      <c r="D82" s="376">
        <f>IFERROR('Расчет фасадов'!Y146,0)</f>
        <v>0</v>
      </c>
      <c r="E82" s="376"/>
      <c r="F82" s="376">
        <f>IFERROR('Расчет фасадов'!Z146,0)</f>
        <v>0</v>
      </c>
      <c r="G82" s="376">
        <f>IFERROR('Расчет фасадов'!AC146,0)</f>
        <v>0</v>
      </c>
      <c r="H82" s="377">
        <f>IFERROR('Расчет фасадов'!AD146,0)</f>
        <v>0</v>
      </c>
      <c r="I82" s="376">
        <f>IFERROR('Расчет фасадов'!AB146,0)</f>
        <v>0</v>
      </c>
      <c r="J82" s="378">
        <f>IFERROR('Расчет фасадов'!AA146,0)</f>
        <v>0</v>
      </c>
      <c r="K82" s="376" t="str">
        <f>IFERROR('Расчет фасадов'!AE146,0)</f>
        <v>Фурнитура</v>
      </c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245"/>
      <c r="AL82" s="245"/>
      <c r="AM82" s="245"/>
      <c r="AN82" s="245"/>
      <c r="AO82" s="245"/>
      <c r="AP82" s="245"/>
      <c r="AQ82" s="245"/>
      <c r="AR82" s="245"/>
      <c r="AS82" s="245"/>
      <c r="AT82" s="245"/>
    </row>
    <row r="83" spans="1:46" ht="46.8" x14ac:dyDescent="0.3">
      <c r="B83" s="344" t="s">
        <v>521</v>
      </c>
      <c r="C83" s="344"/>
      <c r="D83" s="344" t="s">
        <v>2</v>
      </c>
      <c r="E83" s="344" t="s">
        <v>0</v>
      </c>
      <c r="F83" s="344" t="s">
        <v>233</v>
      </c>
      <c r="G83" s="345" t="s">
        <v>558</v>
      </c>
      <c r="H83" s="346" t="s">
        <v>559</v>
      </c>
      <c r="I83" s="346" t="s">
        <v>560</v>
      </c>
      <c r="J83" s="347" t="s">
        <v>149</v>
      </c>
      <c r="K83" s="348" t="s">
        <v>237</v>
      </c>
      <c r="L83" s="349" t="s">
        <v>522</v>
      </c>
      <c r="M83" s="350"/>
      <c r="N83" s="338" t="s">
        <v>14</v>
      </c>
      <c r="O83" s="338" t="s">
        <v>523</v>
      </c>
      <c r="P83" s="338" t="s">
        <v>524</v>
      </c>
      <c r="Q83" s="338" t="s">
        <v>525</v>
      </c>
      <c r="R83" s="338" t="s">
        <v>526</v>
      </c>
      <c r="S83" s="338" t="s">
        <v>527</v>
      </c>
      <c r="T83" s="338" t="s">
        <v>528</v>
      </c>
      <c r="U83" s="338" t="s">
        <v>529</v>
      </c>
      <c r="V83" s="338" t="s">
        <v>530</v>
      </c>
      <c r="W83" s="338" t="s">
        <v>531</v>
      </c>
      <c r="X83" s="338" t="s">
        <v>532</v>
      </c>
      <c r="Y83" s="351" t="s">
        <v>533</v>
      </c>
      <c r="Z83" s="338" t="s">
        <v>534</v>
      </c>
      <c r="AA83" s="338" t="s">
        <v>535</v>
      </c>
      <c r="AB83" s="352" t="s">
        <v>536</v>
      </c>
      <c r="AC83" s="338" t="s">
        <v>537</v>
      </c>
      <c r="AD83" s="338" t="s">
        <v>538</v>
      </c>
      <c r="AE83" s="338" t="s">
        <v>539</v>
      </c>
      <c r="AF83" s="338" t="s">
        <v>540</v>
      </c>
      <c r="AG83" s="338" t="s">
        <v>541</v>
      </c>
      <c r="AH83" s="338" t="s">
        <v>542</v>
      </c>
      <c r="AI83" s="338" t="s">
        <v>543</v>
      </c>
      <c r="AJ83" s="338" t="s">
        <v>379</v>
      </c>
    </row>
    <row r="84" spans="1:46" ht="21" x14ac:dyDescent="0.4">
      <c r="A84" t="str">
        <f>IF('Фасады EDGE'!$X$23&gt;0, "ВФасад", "Пусто")</f>
        <v>Пусто</v>
      </c>
      <c r="B84" s="662" t="s">
        <v>553</v>
      </c>
      <c r="C84" s="367">
        <v>1</v>
      </c>
      <c r="D84" s="367" t="str">
        <f>IFERROR('Расчет фасадов'!Y164,0)</f>
        <v>Фасад, Рамочный узкий профиль</v>
      </c>
      <c r="E84" s="367"/>
      <c r="F84" s="367">
        <f>IFERROR('Расчет фасадов'!Z164,0)</f>
        <v>0</v>
      </c>
      <c r="G84" s="367" t="str">
        <f>IFERROR('Расчет фасадов'!AC164,0)</f>
        <v>0мм-0шт</v>
      </c>
      <c r="H84" s="368">
        <f>IFERROR('Расчет фасадов'!AD164,0)</f>
        <v>0</v>
      </c>
      <c r="I84" s="367">
        <f>IFERROR('Расчет фасадов'!AB164,0)</f>
        <v>0</v>
      </c>
      <c r="J84" s="369">
        <f>IFERROR('Расчет фасадов'!AA164,0)</f>
        <v>0</v>
      </c>
      <c r="K84" s="367" t="str">
        <f>IFERROR('Расчет фасадов'!AE164,0)</f>
        <v>Полуфабрикаты производимые в процессе</v>
      </c>
      <c r="N84" t="s">
        <v>544</v>
      </c>
      <c r="O84" t="s">
        <v>545</v>
      </c>
      <c r="P84" t="str">
        <f>IFERROR('Расчет фасадов'!$B$169,0)</f>
        <v>.</v>
      </c>
      <c r="V84" t="s">
        <v>546</v>
      </c>
      <c r="W84" t="s">
        <v>546</v>
      </c>
      <c r="X84" t="s">
        <v>547</v>
      </c>
      <c r="Y84" t="s">
        <v>361</v>
      </c>
      <c r="AA84">
        <f>'Фасады EDGE'!$C$23</f>
        <v>0</v>
      </c>
      <c r="AB84" t="s">
        <v>553</v>
      </c>
      <c r="AC84">
        <f>'Фасады EDGE'!$G$23</f>
        <v>0</v>
      </c>
      <c r="AD84">
        <f>'Фасады EDGE'!$I$23</f>
        <v>0</v>
      </c>
      <c r="AJ84" s="133">
        <f>'Фасады EDGE'!$W$23</f>
        <v>0</v>
      </c>
    </row>
    <row r="85" spans="1:46" ht="21" x14ac:dyDescent="0.4">
      <c r="B85" s="662"/>
      <c r="C85" s="370">
        <v>2</v>
      </c>
      <c r="D85" s="370" t="str">
        <f>IFERROR('Расчет фасадов'!Y165,0)</f>
        <v>Фасад, Рамочный узкий профиль</v>
      </c>
      <c r="E85" s="370"/>
      <c r="F85" s="370">
        <f>IFERROR('Расчет фасадов'!Z165,0)</f>
        <v>0</v>
      </c>
      <c r="G85" s="370" t="str">
        <f>IFERROR('Расчет фасадов'!AC165,0)</f>
        <v>0мм-0шт</v>
      </c>
      <c r="H85" s="371">
        <f>IFERROR('Расчет фасадов'!AD165,0)</f>
        <v>0</v>
      </c>
      <c r="I85" s="370">
        <f>IFERROR('Расчет фасадов'!AB165,0)</f>
        <v>0</v>
      </c>
      <c r="J85" s="372">
        <f>IFERROR('Расчет фасадов'!AA165,0)</f>
        <v>0</v>
      </c>
      <c r="K85" s="370" t="str">
        <f>IFERROR('Расчет фасадов'!AE165,0)</f>
        <v>Полуфабрикаты производимые в процессе</v>
      </c>
    </row>
    <row r="86" spans="1:46" ht="21" x14ac:dyDescent="0.4">
      <c r="C86" s="370">
        <v>3</v>
      </c>
      <c r="D86" s="370" t="str">
        <f>IFERROR('Расчет фасадов'!Y166,0)</f>
        <v>Фасад, Рамочный узкий профиль</v>
      </c>
      <c r="E86" s="370"/>
      <c r="F86" s="370">
        <f>IFERROR('Расчет фасадов'!Z166,0)</f>
        <v>0</v>
      </c>
      <c r="G86" s="370" t="str">
        <f>IFERROR('Расчет фасадов'!AC166,0)</f>
        <v>0мм-0шт</v>
      </c>
      <c r="H86" s="371">
        <f>IFERROR('Расчет фасадов'!AD166,0)</f>
        <v>0</v>
      </c>
      <c r="I86" s="370">
        <f>IFERROR('Расчет фасадов'!AB166,0)</f>
        <v>0</v>
      </c>
      <c r="J86" s="372">
        <f>IFERROR('Расчет фасадов'!AA166,0)</f>
        <v>0</v>
      </c>
      <c r="K86" s="370" t="str">
        <f>IFERROR('Расчет фасадов'!AE166,0)</f>
        <v>Полуфабрикаты производимые в процессе</v>
      </c>
    </row>
    <row r="87" spans="1:46" ht="21" x14ac:dyDescent="0.4">
      <c r="C87" s="370">
        <v>4</v>
      </c>
      <c r="D87" s="370" t="str">
        <f>IFERROR('Расчет фасадов'!Y167,0)</f>
        <v>Фасад, Рамочный узкий профиль</v>
      </c>
      <c r="E87" s="370"/>
      <c r="F87" s="370">
        <f>IFERROR('Расчет фасадов'!Z167,0)</f>
        <v>0</v>
      </c>
      <c r="G87" s="370" t="str">
        <f>IFERROR('Расчет фасадов'!AC167,0)</f>
        <v>0мм-0шт</v>
      </c>
      <c r="H87" s="371">
        <f>IFERROR('Расчет фасадов'!AD167,0)</f>
        <v>0</v>
      </c>
      <c r="I87" s="370">
        <f>IFERROR('Расчет фасадов'!AB167,0)</f>
        <v>0</v>
      </c>
      <c r="J87" s="372">
        <f>IFERROR('Расчет фасадов'!AA167,0)</f>
        <v>0</v>
      </c>
      <c r="K87" s="370" t="str">
        <f>IFERROR('Расчет фасадов'!AE167,0)</f>
        <v>Полуфабрикаты производимые в процессе</v>
      </c>
    </row>
    <row r="88" spans="1:46" ht="21" x14ac:dyDescent="0.4">
      <c r="C88" s="370">
        <v>5</v>
      </c>
      <c r="D88" s="370">
        <f>IFERROR('Расчет фасадов'!Y168,0)</f>
        <v>0</v>
      </c>
      <c r="E88" s="370"/>
      <c r="F88" s="370" t="str">
        <f>IFERROR('Расчет фасадов'!Z168,0)</f>
        <v>.</v>
      </c>
      <c r="G88" s="370">
        <f>IFERROR('Расчет фасадов'!AC168,0)</f>
        <v>0</v>
      </c>
      <c r="H88" s="371">
        <f>IFERROR('Расчет фасадов'!AD168,0)</f>
        <v>0</v>
      </c>
      <c r="I88" s="370" t="str">
        <f>IFERROR('Расчет фасадов'!AB168,0)</f>
        <v>В -6, Ш -6</v>
      </c>
      <c r="J88" s="372">
        <f>IFERROR('Расчет фасадов'!AA168,0)</f>
        <v>0</v>
      </c>
      <c r="K88" s="370" t="str">
        <f>IFERROR('Расчет фасадов'!AE168,0)</f>
        <v>Вставки</v>
      </c>
    </row>
    <row r="89" spans="1:46" ht="21" x14ac:dyDescent="0.4">
      <c r="C89" s="370">
        <v>6</v>
      </c>
      <c r="D89" s="370" t="str">
        <f>IFERROR('Расчет фасадов'!Y169,0)</f>
        <v>Воздушно-пузырьковая пленка 3-10-115 (1,2*100)</v>
      </c>
      <c r="E89" s="370"/>
      <c r="F89" s="370" t="str">
        <f>IFERROR('Расчет фасадов'!Z169,0)</f>
        <v>3-10-115</v>
      </c>
      <c r="G89" s="370">
        <f>IFERROR('Расчет фасадов'!AC169,0)</f>
        <v>0</v>
      </c>
      <c r="H89" s="371">
        <f>IFERROR('Расчет фасадов'!AD169,0)</f>
        <v>0</v>
      </c>
      <c r="I89" s="370">
        <f>IFERROR('Расчет фасадов'!AB169,0)</f>
        <v>0</v>
      </c>
      <c r="J89" s="372">
        <f>IFERROR('Расчет фасадов'!AA169,0)</f>
        <v>0</v>
      </c>
      <c r="K89" s="370" t="str">
        <f>IFERROR('Расчет фасадов'!AE169,0)</f>
        <v>Полуфабрикаты производимые в процессе</v>
      </c>
    </row>
    <row r="90" spans="1:46" ht="21" x14ac:dyDescent="0.4">
      <c r="C90" s="370">
        <v>7</v>
      </c>
      <c r="D90" s="370" t="str">
        <f>IFERROR('Расчет фасадов'!Y170,0)</f>
        <v>Новофлекс П 40-50 (L3100)</v>
      </c>
      <c r="E90" s="370"/>
      <c r="F90" s="370" t="str">
        <f>IFERROR('Расчет фасадов'!Z170,0)</f>
        <v>П 40-50</v>
      </c>
      <c r="G90" s="370">
        <f>IFERROR('Расчет фасадов'!AC170,0)</f>
        <v>0</v>
      </c>
      <c r="H90" s="371">
        <f>IFERROR('Расчет фасадов'!AD170,0)</f>
        <v>0</v>
      </c>
      <c r="I90" s="370">
        <f>IFERROR('Расчет фасадов'!AB170,0)</f>
        <v>0</v>
      </c>
      <c r="J90" s="372">
        <f>IFERROR('Расчет фасадов'!AA170,0)</f>
        <v>0</v>
      </c>
      <c r="K90" s="370" t="str">
        <f>IFERROR('Расчет фасадов'!AE170,0)</f>
        <v>Полуфабрикаты производимые в процессе</v>
      </c>
    </row>
    <row r="91" spans="1:46" ht="21" x14ac:dyDescent="0.4">
      <c r="C91" s="370">
        <v>8</v>
      </c>
      <c r="D91" s="370" t="str">
        <f>IFERROR('Расчет фасадов'!Y171,0)</f>
        <v>Стрейч плёнка 500*300 (087.0800.50) первичная</v>
      </c>
      <c r="E91" s="370"/>
      <c r="F91" s="370" t="str">
        <f>IFERROR('Расчет фасадов'!Z171,0)</f>
        <v>087.0800.50</v>
      </c>
      <c r="G91" s="370">
        <f>IFERROR('Расчет фасадов'!AC171,0)</f>
        <v>0</v>
      </c>
      <c r="H91" s="371">
        <f>IFERROR('Расчет фасадов'!AD171,0)</f>
        <v>0</v>
      </c>
      <c r="I91" s="370">
        <f>IFERROR('Расчет фасадов'!AB171,0)</f>
        <v>0</v>
      </c>
      <c r="J91" s="372">
        <f>IFERROR('Расчет фасадов'!AA171,0)</f>
        <v>0</v>
      </c>
      <c r="K91" s="370" t="str">
        <f>IFERROR('Расчет фасадов'!AE171,0)</f>
        <v>Полуфабрикаты производимые в процессе</v>
      </c>
    </row>
    <row r="92" spans="1:46" ht="21" x14ac:dyDescent="0.4">
      <c r="C92" s="370">
        <v>9</v>
      </c>
      <c r="D92" s="370" t="str">
        <f>IFERROR('Расчет фасадов'!Y172,0)</f>
        <v>Скотч АРИСТО 2021 06.21</v>
      </c>
      <c r="E92" s="370"/>
      <c r="F92" s="370" t="str">
        <f>IFERROR('Расчет фасадов'!Z172,0)</f>
        <v>ARR-0335</v>
      </c>
      <c r="G92" s="370">
        <f>IFERROR('Расчет фасадов'!AC172,0)</f>
        <v>0</v>
      </c>
      <c r="H92" s="371">
        <f>IFERROR('Расчет фасадов'!AD172,0)</f>
        <v>0</v>
      </c>
      <c r="I92" s="370">
        <f>IFERROR('Расчет фасадов'!AB172,0)</f>
        <v>0</v>
      </c>
      <c r="J92" s="372">
        <f>IFERROR('Расчет фасадов'!AA172,0)</f>
        <v>0</v>
      </c>
      <c r="K92" s="370" t="str">
        <f>IFERROR('Расчет фасадов'!AE172,0)</f>
        <v>Полуфабрикаты производимые в процессе</v>
      </c>
    </row>
    <row r="93" spans="1:46" ht="21" x14ac:dyDescent="0.4">
      <c r="C93" s="370">
        <v>10</v>
      </c>
      <c r="D93" s="370" t="str">
        <f>IFERROR('Расчет фасадов'!Y173,0)</f>
        <v>Клейкая лента прозрачная 72мм*45мм*50мкм</v>
      </c>
      <c r="E93" s="370"/>
      <c r="F93" s="370" t="str">
        <f>IFERROR('Расчет фасадов'!Z173,0)</f>
        <v>0800.50</v>
      </c>
      <c r="G93" s="370">
        <f>IFERROR('Расчет фасадов'!AC173,0)</f>
        <v>0</v>
      </c>
      <c r="H93" s="371">
        <f>IFERROR('Расчет фасадов'!AD173,0)</f>
        <v>0</v>
      </c>
      <c r="I93" s="370">
        <f>IFERROR('Расчет фасадов'!AB173,0)</f>
        <v>0</v>
      </c>
      <c r="J93" s="372">
        <f>IFERROR('Расчет фасадов'!AA173,0)</f>
        <v>0</v>
      </c>
      <c r="K93" s="370" t="str">
        <f>IFERROR('Расчет фасадов'!AE173,0)</f>
        <v>Полуфабрикаты производимые в процессе</v>
      </c>
    </row>
    <row r="94" spans="1:46" ht="21" x14ac:dyDescent="0.4">
      <c r="C94" s="370">
        <v>11</v>
      </c>
      <c r="D94" s="370" t="str">
        <f>IFERROR('Расчет фасадов'!Y174,0)</f>
        <v>Клейкая ленка "ОСТОРОЖНО! СТЕКЛО"</v>
      </c>
      <c r="E94" s="370"/>
      <c r="F94" s="370" t="str">
        <f>IFERROR('Расчет фасадов'!Z174,0)</f>
        <v>43скл</v>
      </c>
      <c r="G94" s="370">
        <f>IFERROR('Расчет фасадов'!AC174,0)</f>
        <v>0</v>
      </c>
      <c r="H94" s="371">
        <f>IFERROR('Расчет фасадов'!AD174,0)</f>
        <v>0</v>
      </c>
      <c r="I94" s="370">
        <f>IFERROR('Расчет фасадов'!AB174,0)</f>
        <v>0</v>
      </c>
      <c r="J94" s="372">
        <f>IFERROR('Расчет фасадов'!AA174,0)</f>
        <v>1</v>
      </c>
      <c r="K94" s="370" t="str">
        <f>IFERROR('Расчет фасадов'!AE174,0)</f>
        <v>Полуфабрикаты производимые в процессе</v>
      </c>
    </row>
    <row r="95" spans="1:46" ht="21" x14ac:dyDescent="0.4">
      <c r="C95" s="370">
        <v>12</v>
      </c>
      <c r="D95" s="370" t="str">
        <f>IFERROR('Расчет фасадов'!Y175,0)</f>
        <v>Пленка-мешок полиэтиленовый 250*700*0,1</v>
      </c>
      <c r="E95" s="370"/>
      <c r="F95" s="370" t="str">
        <f>IFERROR('Расчет фасадов'!Z175,0)</f>
        <v>250*700*0,1</v>
      </c>
      <c r="G95" s="370">
        <f>IFERROR('Расчет фасадов'!AC175,0)</f>
        <v>0</v>
      </c>
      <c r="H95" s="371">
        <f>IFERROR('Расчет фасадов'!AD175,0)</f>
        <v>1</v>
      </c>
      <c r="I95" s="370">
        <f>IFERROR('Расчет фасадов'!AB175,0)</f>
        <v>0</v>
      </c>
      <c r="J95" s="372">
        <f>IFERROR('Расчет фасадов'!AA175,0)</f>
        <v>1</v>
      </c>
      <c r="K95" s="370" t="str">
        <f>IFERROR('Расчет фасадов'!AE175,0)</f>
        <v>Полуфабрикаты производимые в процессе</v>
      </c>
    </row>
    <row r="96" spans="1:46" ht="21" x14ac:dyDescent="0.4">
      <c r="C96" s="370">
        <v>13</v>
      </c>
      <c r="D96" s="370">
        <f>IFERROR('Расчет фасадов'!Y176,0)</f>
        <v>0</v>
      </c>
      <c r="E96" s="370"/>
      <c r="F96" s="370">
        <f>IFERROR('Расчет фасадов'!Z176,0)</f>
        <v>0</v>
      </c>
      <c r="G96" s="370">
        <f>IFERROR('Расчет фасадов'!AC176,0)</f>
        <v>0</v>
      </c>
      <c r="H96" s="371">
        <f>IFERROR('Расчет фасадов'!AD176,0)</f>
        <v>0</v>
      </c>
      <c r="I96" s="370">
        <f>IFERROR('Расчет фасадов'!AB176,0)</f>
        <v>0</v>
      </c>
      <c r="J96" s="372">
        <f>IFERROR('Расчет фасадов'!AA176,0)</f>
        <v>0</v>
      </c>
      <c r="K96" s="370" t="str">
        <f>IFERROR('Расчет фасадов'!AE176,0)</f>
        <v>Фурнитура</v>
      </c>
    </row>
    <row r="97" spans="1:46" ht="21" x14ac:dyDescent="0.4">
      <c r="C97" s="370">
        <v>14</v>
      </c>
      <c r="D97" s="370">
        <f>IFERROR('Расчет фасадов'!Y177,0)</f>
        <v>0</v>
      </c>
      <c r="E97" s="370"/>
      <c r="F97" s="370">
        <f>IFERROR('Расчет фасадов'!Z177,0)</f>
        <v>0</v>
      </c>
      <c r="G97" s="370">
        <f>IFERROR('Расчет фасадов'!AC177,0)</f>
        <v>0</v>
      </c>
      <c r="H97" s="371">
        <f>IFERROR('Расчет фасадов'!AD177,0)</f>
        <v>0</v>
      </c>
      <c r="I97" s="370">
        <f>IFERROR('Расчет фасадов'!AB177,0)</f>
        <v>0</v>
      </c>
      <c r="J97" s="372">
        <f>IFERROR('Расчет фасадов'!AA177,0)</f>
        <v>0</v>
      </c>
      <c r="K97" s="370" t="str">
        <f>IFERROR('Расчет фасадов'!AE177,0)</f>
        <v>Полуфабрикаты производимые в процессе</v>
      </c>
    </row>
    <row r="98" spans="1:46" ht="21.6" thickBot="1" x14ac:dyDescent="0.45">
      <c r="A98" s="245"/>
      <c r="B98" s="245"/>
      <c r="C98" s="373">
        <v>15</v>
      </c>
      <c r="D98" s="373">
        <f>IFERROR('Расчет фасадов'!Y178,0)</f>
        <v>0</v>
      </c>
      <c r="E98" s="373"/>
      <c r="F98" s="373">
        <f>IFERROR('Расчет фасадов'!Z178,0)</f>
        <v>0</v>
      </c>
      <c r="G98" s="373">
        <f>IFERROR('Расчет фасадов'!AC178,0)</f>
        <v>0</v>
      </c>
      <c r="H98" s="374">
        <f>IFERROR('Расчет фасадов'!AD178,0)</f>
        <v>0</v>
      </c>
      <c r="I98" s="373">
        <f>IFERROR('Расчет фасадов'!AB178,0)</f>
        <v>0</v>
      </c>
      <c r="J98" s="375">
        <f>IFERROR('Расчет фасадов'!AA178,0)</f>
        <v>0</v>
      </c>
      <c r="K98" s="373" t="str">
        <f>IFERROR('Расчет фасадов'!AE178,0)</f>
        <v>Фурнитура</v>
      </c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F98" s="245"/>
      <c r="AG98" s="245"/>
      <c r="AH98" s="245"/>
      <c r="AI98" s="245"/>
      <c r="AJ98" s="245"/>
      <c r="AK98" s="245"/>
      <c r="AL98" s="245"/>
      <c r="AM98" s="245"/>
      <c r="AN98" s="245"/>
      <c r="AO98" s="245"/>
      <c r="AP98" s="245"/>
      <c r="AQ98" s="245"/>
      <c r="AR98" s="245"/>
      <c r="AS98" s="245"/>
      <c r="AT98" s="245"/>
    </row>
    <row r="99" spans="1:46" ht="46.8" x14ac:dyDescent="0.3">
      <c r="B99" s="344" t="s">
        <v>521</v>
      </c>
      <c r="C99" s="344"/>
      <c r="D99" s="344" t="s">
        <v>2</v>
      </c>
      <c r="E99" s="344" t="s">
        <v>0</v>
      </c>
      <c r="F99" s="344" t="s">
        <v>233</v>
      </c>
      <c r="G99" s="345" t="s">
        <v>558</v>
      </c>
      <c r="H99" s="346" t="s">
        <v>559</v>
      </c>
      <c r="I99" s="346" t="s">
        <v>560</v>
      </c>
      <c r="J99" s="347" t="s">
        <v>149</v>
      </c>
      <c r="K99" s="348" t="s">
        <v>237</v>
      </c>
      <c r="L99" s="349" t="s">
        <v>522</v>
      </c>
      <c r="M99" s="350"/>
      <c r="N99" s="338" t="s">
        <v>14</v>
      </c>
      <c r="O99" s="338" t="s">
        <v>523</v>
      </c>
      <c r="P99" s="338" t="s">
        <v>524</v>
      </c>
      <c r="Q99" s="338" t="s">
        <v>525</v>
      </c>
      <c r="R99" s="338" t="s">
        <v>526</v>
      </c>
      <c r="S99" s="338" t="s">
        <v>527</v>
      </c>
      <c r="T99" s="338" t="s">
        <v>528</v>
      </c>
      <c r="U99" s="338" t="s">
        <v>529</v>
      </c>
      <c r="V99" s="338" t="s">
        <v>530</v>
      </c>
      <c r="W99" s="338" t="s">
        <v>531</v>
      </c>
      <c r="X99" s="338" t="s">
        <v>532</v>
      </c>
      <c r="Y99" s="351" t="s">
        <v>533</v>
      </c>
      <c r="Z99" s="338" t="s">
        <v>534</v>
      </c>
      <c r="AA99" s="338" t="s">
        <v>535</v>
      </c>
      <c r="AB99" s="352" t="s">
        <v>536</v>
      </c>
      <c r="AC99" s="338" t="s">
        <v>537</v>
      </c>
      <c r="AD99" s="338" t="s">
        <v>538</v>
      </c>
      <c r="AE99" s="338" t="s">
        <v>539</v>
      </c>
      <c r="AF99" s="338" t="s">
        <v>540</v>
      </c>
      <c r="AG99" s="338" t="s">
        <v>541</v>
      </c>
      <c r="AH99" s="338" t="s">
        <v>542</v>
      </c>
      <c r="AI99" s="338" t="s">
        <v>543</v>
      </c>
      <c r="AJ99" s="338" t="s">
        <v>379</v>
      </c>
    </row>
    <row r="100" spans="1:46" ht="21" x14ac:dyDescent="0.4">
      <c r="A100" t="str">
        <f>IF('Фасады EDGE'!$X$26&gt;0, "ВФасад", "Пусто")</f>
        <v>Пусто</v>
      </c>
      <c r="B100" s="662" t="s">
        <v>554</v>
      </c>
      <c r="C100" s="367">
        <v>1</v>
      </c>
      <c r="D100" s="367" t="str">
        <f>IFERROR('Расчет фасадов'!Y196,0)</f>
        <v>Фасад, Рамочный узкий профиль</v>
      </c>
      <c r="E100" s="367"/>
      <c r="F100" s="367">
        <f>IFERROR('Расчет фасадов'!Z196,0)</f>
        <v>0</v>
      </c>
      <c r="G100" s="367" t="str">
        <f>IFERROR('Расчет фасадов'!AC196,0)</f>
        <v>0мм-0шт</v>
      </c>
      <c r="H100" s="368">
        <f>IFERROR('Расчет фасадов'!AD196,0)</f>
        <v>0</v>
      </c>
      <c r="I100" s="367">
        <f>IFERROR('Расчет фасадов'!AB196,0)</f>
        <v>0</v>
      </c>
      <c r="J100" s="369">
        <f>IFERROR('Расчет фасадов'!AA196,0)</f>
        <v>0</v>
      </c>
      <c r="K100" s="367" t="str">
        <f>IFERROR('Расчет фасадов'!AE196,0)</f>
        <v>Полуфабрикаты производимые в процессе</v>
      </c>
      <c r="N100" t="s">
        <v>544</v>
      </c>
      <c r="O100" t="s">
        <v>545</v>
      </c>
      <c r="P100" s="133" t="str">
        <f>IFERROR('Расчет фасадов'!$B$201,0)</f>
        <v>.</v>
      </c>
      <c r="V100" t="s">
        <v>546</v>
      </c>
      <c r="W100" t="s">
        <v>546</v>
      </c>
      <c r="X100" t="s">
        <v>547</v>
      </c>
      <c r="Y100" t="s">
        <v>361</v>
      </c>
      <c r="AA100">
        <f>'Фасады EDGE'!$C$26</f>
        <v>0</v>
      </c>
      <c r="AB100" t="s">
        <v>554</v>
      </c>
      <c r="AC100">
        <f>'Фасады EDGE'!$G$26</f>
        <v>0</v>
      </c>
      <c r="AD100">
        <f>'Фасады EDGE'!$I$26</f>
        <v>0</v>
      </c>
      <c r="AJ100" s="133">
        <f>'Фасады EDGE'!$W$26</f>
        <v>0</v>
      </c>
    </row>
    <row r="101" spans="1:46" ht="21" x14ac:dyDescent="0.4">
      <c r="B101" s="662"/>
      <c r="C101" s="370">
        <v>2</v>
      </c>
      <c r="D101" s="370" t="str">
        <f>IFERROR('Расчет фасадов'!Y197,0)</f>
        <v>Фасад, Рамочный узкий профиль</v>
      </c>
      <c r="E101" s="370"/>
      <c r="F101" s="370">
        <f>IFERROR('Расчет фасадов'!Z197,0)</f>
        <v>0</v>
      </c>
      <c r="G101" s="370" t="str">
        <f>IFERROR('Расчет фасадов'!AC197,0)</f>
        <v>0мм-0шт</v>
      </c>
      <c r="H101" s="370">
        <f>IFERROR('Расчет фасадов'!AD197,0)</f>
        <v>0</v>
      </c>
      <c r="I101" s="370">
        <f>IFERROR('Расчет фасадов'!AB197,0)</f>
        <v>0</v>
      </c>
      <c r="J101" s="370">
        <f>IFERROR('Расчет фасадов'!AA197,0)</f>
        <v>0</v>
      </c>
      <c r="K101" s="370" t="str">
        <f>IFERROR('Расчет фасадов'!AE197,0)</f>
        <v>Полуфабрикаты производимые в процессе</v>
      </c>
    </row>
    <row r="102" spans="1:46" ht="21" x14ac:dyDescent="0.4">
      <c r="C102" s="370">
        <v>3</v>
      </c>
      <c r="D102" s="370" t="str">
        <f>IFERROR('Расчет фасадов'!Y198,0)</f>
        <v>Фасад, Рамочный узкий профиль</v>
      </c>
      <c r="E102" s="370"/>
      <c r="F102" s="370">
        <f>IFERROR('Расчет фасадов'!Z198,0)</f>
        <v>0</v>
      </c>
      <c r="G102" s="370" t="str">
        <f>IFERROR('Расчет фасадов'!AC198,0)</f>
        <v>0мм-0шт</v>
      </c>
      <c r="H102" s="370">
        <f>IFERROR('Расчет фасадов'!AD198,0)</f>
        <v>0</v>
      </c>
      <c r="I102" s="370">
        <f>IFERROR('Расчет фасадов'!AB198,0)</f>
        <v>0</v>
      </c>
      <c r="J102" s="370">
        <f>IFERROR('Расчет фасадов'!AA198,0)</f>
        <v>0</v>
      </c>
      <c r="K102" s="370" t="str">
        <f>IFERROR('Расчет фасадов'!AE198,0)</f>
        <v>Полуфабрикаты производимые в процессе</v>
      </c>
    </row>
    <row r="103" spans="1:46" ht="21" x14ac:dyDescent="0.4">
      <c r="C103" s="370">
        <v>4</v>
      </c>
      <c r="D103" s="370" t="str">
        <f>IFERROR('Расчет фасадов'!Y199,0)</f>
        <v>Фасад, Рамочный узкий профиль</v>
      </c>
      <c r="E103" s="370"/>
      <c r="F103" s="370">
        <f>IFERROR('Расчет фасадов'!Z199,0)</f>
        <v>0</v>
      </c>
      <c r="G103" s="370" t="str">
        <f>IFERROR('Расчет фасадов'!AC199,0)</f>
        <v>0мм-0шт</v>
      </c>
      <c r="H103" s="370">
        <f>IFERROR('Расчет фасадов'!AD199,0)</f>
        <v>0</v>
      </c>
      <c r="I103" s="370">
        <f>IFERROR('Расчет фасадов'!AB199,0)</f>
        <v>0</v>
      </c>
      <c r="J103" s="370">
        <f>IFERROR('Расчет фасадов'!AA199,0)</f>
        <v>0</v>
      </c>
      <c r="K103" s="370" t="str">
        <f>IFERROR('Расчет фасадов'!AE199,0)</f>
        <v>Полуфабрикаты производимые в процессе</v>
      </c>
    </row>
    <row r="104" spans="1:46" ht="21" x14ac:dyDescent="0.4">
      <c r="C104" s="370">
        <v>5</v>
      </c>
      <c r="D104" s="370">
        <f>IFERROR('Расчет фасадов'!Y200,0)</f>
        <v>0</v>
      </c>
      <c r="E104" s="370"/>
      <c r="F104" s="370" t="str">
        <f>IFERROR('Расчет фасадов'!Z200,0)</f>
        <v>.</v>
      </c>
      <c r="G104" s="370">
        <f>IFERROR('Расчет фасадов'!AC200,0)</f>
        <v>0</v>
      </c>
      <c r="H104" s="370">
        <f>IFERROR('Расчет фасадов'!AD200,0)</f>
        <v>0</v>
      </c>
      <c r="I104" s="370" t="str">
        <f>IFERROR('Расчет фасадов'!AB200,0)</f>
        <v>В -6, Ш -6</v>
      </c>
      <c r="J104" s="370">
        <f>IFERROR('Расчет фасадов'!AA200,0)</f>
        <v>0</v>
      </c>
      <c r="K104" s="370" t="str">
        <f>IFERROR('Расчет фасадов'!AE200,0)</f>
        <v>Вставки</v>
      </c>
    </row>
    <row r="105" spans="1:46" ht="21" x14ac:dyDescent="0.4">
      <c r="C105" s="370">
        <v>6</v>
      </c>
      <c r="D105" s="370" t="str">
        <f>IFERROR('Расчет фасадов'!Y201,0)</f>
        <v>Воздушно-пузырьковая пленка 3-10-115 (1,2*100)</v>
      </c>
      <c r="E105" s="370"/>
      <c r="F105" s="370" t="str">
        <f>IFERROR('Расчет фасадов'!Z201,0)</f>
        <v>3-10-115</v>
      </c>
      <c r="G105" s="370">
        <f>IFERROR('Расчет фасадов'!AC201,0)</f>
        <v>0</v>
      </c>
      <c r="H105" s="370">
        <f>IFERROR('Расчет фасадов'!AD201,0)</f>
        <v>0</v>
      </c>
      <c r="I105" s="370">
        <f>IFERROR('Расчет фасадов'!AB201,0)</f>
        <v>0</v>
      </c>
      <c r="J105" s="370">
        <f>IFERROR('Расчет фасадов'!AA201,0)</f>
        <v>0</v>
      </c>
      <c r="K105" s="370" t="str">
        <f>IFERROR('Расчет фасадов'!AE201,0)</f>
        <v>Полуфабрикаты производимые в процессе</v>
      </c>
    </row>
    <row r="106" spans="1:46" ht="21" x14ac:dyDescent="0.4">
      <c r="C106" s="370">
        <v>7</v>
      </c>
      <c r="D106" s="370" t="str">
        <f>IFERROR('Расчет фасадов'!Y202,0)</f>
        <v>Новофлекс П 40-50 (L3100)</v>
      </c>
      <c r="E106" s="370"/>
      <c r="F106" s="370" t="str">
        <f>IFERROR('Расчет фасадов'!Z202,0)</f>
        <v>П 40-50</v>
      </c>
      <c r="G106" s="370">
        <f>IFERROR('Расчет фасадов'!AC202,0)</f>
        <v>0</v>
      </c>
      <c r="H106" s="370">
        <f>IFERROR('Расчет фасадов'!AD202,0)</f>
        <v>0</v>
      </c>
      <c r="I106" s="370">
        <f>IFERROR('Расчет фасадов'!AB202,0)</f>
        <v>0</v>
      </c>
      <c r="J106" s="370">
        <f>IFERROR('Расчет фасадов'!AA202,0)</f>
        <v>0</v>
      </c>
      <c r="K106" s="370" t="str">
        <f>IFERROR('Расчет фасадов'!AE202,0)</f>
        <v>Полуфабрикаты производимые в процессе</v>
      </c>
    </row>
    <row r="107" spans="1:46" ht="21" x14ac:dyDescent="0.4">
      <c r="C107" s="370">
        <v>8</v>
      </c>
      <c r="D107" s="370" t="str">
        <f>IFERROR('Расчет фасадов'!Y203,0)</f>
        <v>Стрейч плёнка 500*300 (087.0800.50) первичная</v>
      </c>
      <c r="E107" s="370"/>
      <c r="F107" s="370" t="str">
        <f>IFERROR('Расчет фасадов'!Z203,0)</f>
        <v>087.0800.50</v>
      </c>
      <c r="G107" s="370">
        <f>IFERROR('Расчет фасадов'!AC203,0)</f>
        <v>0</v>
      </c>
      <c r="H107" s="370">
        <f>IFERROR('Расчет фасадов'!AD203,0)</f>
        <v>0</v>
      </c>
      <c r="I107" s="370">
        <f>IFERROR('Расчет фасадов'!AB203,0)</f>
        <v>0</v>
      </c>
      <c r="J107" s="370">
        <f>IFERROR('Расчет фасадов'!AA203,0)</f>
        <v>0</v>
      </c>
      <c r="K107" s="370" t="str">
        <f>IFERROR('Расчет фасадов'!AE203,0)</f>
        <v>Полуфабрикаты производимые в процессе</v>
      </c>
    </row>
    <row r="108" spans="1:46" ht="21" x14ac:dyDescent="0.4">
      <c r="C108" s="370">
        <v>9</v>
      </c>
      <c r="D108" s="370" t="str">
        <f>IFERROR('Расчет фасадов'!Y204,0)</f>
        <v>Скотч АРИСТО 2021 06.21</v>
      </c>
      <c r="E108" s="370"/>
      <c r="F108" s="370" t="str">
        <f>IFERROR('Расчет фасадов'!Z204,0)</f>
        <v>ARR-0335</v>
      </c>
      <c r="G108" s="370">
        <f>IFERROR('Расчет фасадов'!AC204,0)</f>
        <v>0</v>
      </c>
      <c r="H108" s="370">
        <f>IFERROR('Расчет фасадов'!AD204,0)</f>
        <v>0</v>
      </c>
      <c r="I108" s="370">
        <f>IFERROR('Расчет фасадов'!AB204,0)</f>
        <v>0</v>
      </c>
      <c r="J108" s="370">
        <f>IFERROR('Расчет фасадов'!AA204,0)</f>
        <v>0</v>
      </c>
      <c r="K108" s="370" t="str">
        <f>IFERROR('Расчет фасадов'!AE204,0)</f>
        <v>Полуфабрикаты производимые в процессе</v>
      </c>
    </row>
    <row r="109" spans="1:46" ht="21" x14ac:dyDescent="0.4">
      <c r="C109" s="370">
        <v>10</v>
      </c>
      <c r="D109" s="370" t="str">
        <f>IFERROR('Расчет фасадов'!Y205,0)</f>
        <v>Клейкая лента прозрачная 72мм*45мм*50мкм</v>
      </c>
      <c r="E109" s="370"/>
      <c r="F109" s="370" t="str">
        <f>IFERROR('Расчет фасадов'!Z205,0)</f>
        <v>0800.50</v>
      </c>
      <c r="G109" s="370">
        <f>IFERROR('Расчет фасадов'!AC205,0)</f>
        <v>0</v>
      </c>
      <c r="H109" s="370">
        <f>IFERROR('Расчет фасадов'!AD205,0)</f>
        <v>0</v>
      </c>
      <c r="I109" s="370">
        <f>IFERROR('Расчет фасадов'!AB205,0)</f>
        <v>0</v>
      </c>
      <c r="J109" s="370">
        <f>IFERROR('Расчет фасадов'!AA205,0)</f>
        <v>0</v>
      </c>
      <c r="K109" s="370" t="str">
        <f>IFERROR('Расчет фасадов'!AE205,0)</f>
        <v>Полуфабрикаты производимые в процессе</v>
      </c>
    </row>
    <row r="110" spans="1:46" ht="21" x14ac:dyDescent="0.4">
      <c r="C110" s="370">
        <v>11</v>
      </c>
      <c r="D110" s="370" t="str">
        <f>IFERROR('Расчет фасадов'!Y206,0)</f>
        <v>Клейкая ленка "ОСТОРОЖНО! СТЕКЛО"</v>
      </c>
      <c r="E110" s="370"/>
      <c r="F110" s="370" t="str">
        <f>IFERROR('Расчет фасадов'!Z206,0)</f>
        <v>43скл</v>
      </c>
      <c r="G110" s="370">
        <f>IFERROR('Расчет фасадов'!AC206,0)</f>
        <v>0</v>
      </c>
      <c r="H110" s="370">
        <f>IFERROR('Расчет фасадов'!AD206,0)</f>
        <v>0</v>
      </c>
      <c r="I110" s="370">
        <f>IFERROR('Расчет фасадов'!AB206,0)</f>
        <v>0</v>
      </c>
      <c r="J110" s="370">
        <f>IFERROR('Расчет фасадов'!AA206,0)</f>
        <v>1</v>
      </c>
      <c r="K110" s="370" t="str">
        <f>IFERROR('Расчет фасадов'!AE206,0)</f>
        <v>Полуфабрикаты производимые в процессе</v>
      </c>
    </row>
    <row r="111" spans="1:46" ht="21" x14ac:dyDescent="0.4">
      <c r="C111" s="370">
        <v>12</v>
      </c>
      <c r="D111" s="370" t="str">
        <f>IFERROR('Расчет фасадов'!Y207,0)</f>
        <v>Пленка-мешок полиэтиленовый 250*700*0,1</v>
      </c>
      <c r="E111" s="370"/>
      <c r="F111" s="370" t="str">
        <f>IFERROR('Расчет фасадов'!Z207,0)</f>
        <v>250*700*0,1</v>
      </c>
      <c r="G111" s="370">
        <f>IFERROR('Расчет фасадов'!AC207,0)</f>
        <v>0</v>
      </c>
      <c r="H111" s="370">
        <f>IFERROR('Расчет фасадов'!AD207,0)</f>
        <v>1</v>
      </c>
      <c r="I111" s="370">
        <f>IFERROR('Расчет фасадов'!AB207,0)</f>
        <v>0</v>
      </c>
      <c r="J111" s="370">
        <f>IFERROR('Расчет фасадов'!AA207,0)</f>
        <v>1</v>
      </c>
      <c r="K111" s="370" t="str">
        <f>IFERROR('Расчет фасадов'!AE207,0)</f>
        <v>Полуфабрикаты производимые в процессе</v>
      </c>
    </row>
    <row r="112" spans="1:46" ht="21" x14ac:dyDescent="0.4">
      <c r="C112" s="370">
        <v>13</v>
      </c>
      <c r="D112" s="370">
        <f>IFERROR('Расчет фасадов'!Y208,0)</f>
        <v>0</v>
      </c>
      <c r="E112" s="370"/>
      <c r="F112" s="370">
        <f>IFERROR('Расчет фасадов'!Z208,0)</f>
        <v>0</v>
      </c>
      <c r="G112" s="370">
        <f>IFERROR('Расчет фасадов'!AC208,0)</f>
        <v>0</v>
      </c>
      <c r="H112" s="370">
        <f>IFERROR('Расчет фасадов'!AD208,0)</f>
        <v>0</v>
      </c>
      <c r="I112" s="370">
        <f>IFERROR('Расчет фасадов'!AB208,0)</f>
        <v>0</v>
      </c>
      <c r="J112" s="370">
        <f>IFERROR('Расчет фасадов'!AA208,0)</f>
        <v>0</v>
      </c>
      <c r="K112" s="370" t="str">
        <f>IFERROR('Расчет фасадов'!AE208,0)</f>
        <v>Фурнитура</v>
      </c>
    </row>
    <row r="113" spans="1:46" ht="21" x14ac:dyDescent="0.4">
      <c r="C113" s="370">
        <v>14</v>
      </c>
      <c r="D113" s="370">
        <f>IFERROR('Расчет фасадов'!Y209,0)</f>
        <v>0</v>
      </c>
      <c r="E113" s="370"/>
      <c r="F113" s="370">
        <f>IFERROR('Расчет фасадов'!Z209,0)</f>
        <v>0</v>
      </c>
      <c r="G113" s="370">
        <f>IFERROR('Расчет фасадов'!AC209,0)</f>
        <v>0</v>
      </c>
      <c r="H113" s="370">
        <f>IFERROR('Расчет фасадов'!AD209,0)</f>
        <v>0</v>
      </c>
      <c r="I113" s="370">
        <f>IFERROR('Расчет фасадов'!AB209,0)</f>
        <v>0</v>
      </c>
      <c r="J113" s="370">
        <f>IFERROR('Расчет фасадов'!AA209,0)</f>
        <v>0</v>
      </c>
      <c r="K113" s="370" t="str">
        <f>IFERROR('Расчет фасадов'!AE209,0)</f>
        <v>Полуфабрикаты производимые в процессе</v>
      </c>
    </row>
    <row r="114" spans="1:46" ht="21.6" thickBot="1" x14ac:dyDescent="0.45">
      <c r="A114" s="245"/>
      <c r="B114" s="245"/>
      <c r="C114" s="373">
        <v>15</v>
      </c>
      <c r="D114" s="373">
        <f>IFERROR('Расчет фасадов'!Y210,0)</f>
        <v>0</v>
      </c>
      <c r="E114" s="373"/>
      <c r="F114" s="373">
        <f>IFERROR('Расчет фасадов'!Z210,0)</f>
        <v>0</v>
      </c>
      <c r="G114" s="373">
        <f>IFERROR('Расчет фасадов'!AC210,0)</f>
        <v>0</v>
      </c>
      <c r="H114" s="373">
        <f>IFERROR('Расчет фасадов'!AD210,0)</f>
        <v>0</v>
      </c>
      <c r="I114" s="373">
        <f>IFERROR('Расчет фасадов'!AB210,0)</f>
        <v>0</v>
      </c>
      <c r="J114" s="373">
        <f>IFERROR('Расчет фасадов'!AA210,0)</f>
        <v>0</v>
      </c>
      <c r="K114" s="373" t="str">
        <f>IFERROR('Расчет фасадов'!AE210,0)</f>
        <v>Фурнитура</v>
      </c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  <c r="AA114" s="245"/>
      <c r="AB114" s="245"/>
      <c r="AC114" s="245"/>
      <c r="AD114" s="245"/>
      <c r="AE114" s="245"/>
      <c r="AF114" s="245"/>
      <c r="AG114" s="245"/>
      <c r="AH114" s="245"/>
      <c r="AI114" s="245"/>
      <c r="AJ114" s="245"/>
      <c r="AK114" s="245"/>
      <c r="AL114" s="245"/>
      <c r="AM114" s="245"/>
      <c r="AN114" s="245"/>
      <c r="AO114" s="245"/>
      <c r="AP114" s="245"/>
      <c r="AQ114" s="245"/>
      <c r="AR114" s="245"/>
      <c r="AS114" s="245"/>
      <c r="AT114" s="245"/>
    </row>
    <row r="115" spans="1:46" ht="46.8" x14ac:dyDescent="0.3">
      <c r="B115" s="344" t="s">
        <v>521</v>
      </c>
      <c r="C115" s="344"/>
      <c r="D115" s="344" t="s">
        <v>2</v>
      </c>
      <c r="E115" s="344" t="s">
        <v>0</v>
      </c>
      <c r="F115" s="344" t="s">
        <v>233</v>
      </c>
      <c r="G115" s="345" t="s">
        <v>558</v>
      </c>
      <c r="H115" s="346" t="s">
        <v>559</v>
      </c>
      <c r="I115" s="346" t="s">
        <v>560</v>
      </c>
      <c r="J115" s="347" t="s">
        <v>149</v>
      </c>
      <c r="K115" s="348" t="s">
        <v>237</v>
      </c>
      <c r="L115" s="349" t="s">
        <v>522</v>
      </c>
      <c r="M115" s="350"/>
      <c r="N115" s="338" t="s">
        <v>14</v>
      </c>
      <c r="O115" s="338" t="s">
        <v>523</v>
      </c>
      <c r="P115" s="338" t="s">
        <v>524</v>
      </c>
      <c r="Q115" s="338" t="s">
        <v>525</v>
      </c>
      <c r="R115" s="338" t="s">
        <v>526</v>
      </c>
      <c r="S115" s="338" t="s">
        <v>527</v>
      </c>
      <c r="T115" s="338" t="s">
        <v>528</v>
      </c>
      <c r="U115" s="338" t="s">
        <v>529</v>
      </c>
      <c r="V115" s="338" t="s">
        <v>530</v>
      </c>
      <c r="W115" s="338" t="s">
        <v>531</v>
      </c>
      <c r="X115" s="338" t="s">
        <v>532</v>
      </c>
      <c r="Y115" s="351" t="s">
        <v>533</v>
      </c>
      <c r="Z115" s="338" t="s">
        <v>534</v>
      </c>
      <c r="AA115" s="338" t="s">
        <v>535</v>
      </c>
      <c r="AB115" s="352" t="s">
        <v>536</v>
      </c>
      <c r="AC115" s="338" t="s">
        <v>537</v>
      </c>
      <c r="AD115" s="338" t="s">
        <v>538</v>
      </c>
      <c r="AE115" s="338" t="s">
        <v>539</v>
      </c>
      <c r="AF115" s="338" t="s">
        <v>540</v>
      </c>
      <c r="AG115" s="338" t="s">
        <v>541</v>
      </c>
      <c r="AH115" s="338" t="s">
        <v>542</v>
      </c>
      <c r="AI115" s="338" t="s">
        <v>543</v>
      </c>
      <c r="AJ115" s="338" t="s">
        <v>379</v>
      </c>
    </row>
    <row r="116" spans="1:46" ht="21" x14ac:dyDescent="0.4">
      <c r="A116" t="str">
        <f>IF('Фасады EDGE'!$X$29&gt;0, "ВФасад", "Пусто")</f>
        <v>Пусто</v>
      </c>
      <c r="B116" s="662" t="s">
        <v>555</v>
      </c>
      <c r="C116" s="367">
        <v>1</v>
      </c>
      <c r="D116" s="367" t="str">
        <f>IFERROR('Расчет фасадов'!Y228,0)</f>
        <v>Фасад, Рамочный узкий профиль</v>
      </c>
      <c r="E116" s="367"/>
      <c r="F116" s="367">
        <f>IFERROR('Расчет фасадов'!Z228,0)</f>
        <v>0</v>
      </c>
      <c r="G116" s="367" t="str">
        <f>IFERROR('Расчет фасадов'!AC228,0)</f>
        <v>0мм-0шт</v>
      </c>
      <c r="H116" s="368">
        <f>IFERROR('Расчет фасадов'!AD228,0)</f>
        <v>0</v>
      </c>
      <c r="I116" s="367">
        <f>IFERROR('Расчет фасадов'!AB228,0)</f>
        <v>0</v>
      </c>
      <c r="J116" s="369">
        <f>IFERROR('Расчет фасадов'!AA228,0)</f>
        <v>0</v>
      </c>
      <c r="K116" s="367" t="str">
        <f>IFERROR('Расчет фасадов'!AE228,0)</f>
        <v>Полуфабрикаты производимые в процессе</v>
      </c>
      <c r="N116" t="s">
        <v>544</v>
      </c>
      <c r="O116" t="s">
        <v>545</v>
      </c>
      <c r="P116" t="str">
        <f>IFERROR('Расчет фасадов'!$B$233,0)</f>
        <v>.</v>
      </c>
      <c r="V116" t="s">
        <v>546</v>
      </c>
      <c r="W116" t="s">
        <v>546</v>
      </c>
      <c r="X116" t="s">
        <v>547</v>
      </c>
      <c r="Y116" t="s">
        <v>361</v>
      </c>
      <c r="AA116">
        <f>'Фасады EDGE'!$C$29</f>
        <v>0</v>
      </c>
      <c r="AB116" t="s">
        <v>555</v>
      </c>
      <c r="AC116">
        <f>'Фасады EDGE'!$G$29</f>
        <v>0</v>
      </c>
      <c r="AD116">
        <f>'Фасады EDGE'!$I$29</f>
        <v>0</v>
      </c>
      <c r="AJ116" s="133">
        <f>'Фасады EDGE'!$W$29</f>
        <v>0</v>
      </c>
    </row>
    <row r="117" spans="1:46" ht="21" x14ac:dyDescent="0.4">
      <c r="B117" s="662"/>
      <c r="C117" s="370">
        <v>2</v>
      </c>
      <c r="D117" s="370" t="str">
        <f>IFERROR('Расчет фасадов'!Y229,0)</f>
        <v>Фасад, Рамочный узкий профиль</v>
      </c>
      <c r="E117" s="370"/>
      <c r="F117" s="370">
        <f>IFERROR('Расчет фасадов'!Z229,0)</f>
        <v>0</v>
      </c>
      <c r="G117" s="370" t="str">
        <f>IFERROR('Расчет фасадов'!AC229,0)</f>
        <v>0мм-0шт</v>
      </c>
      <c r="H117" s="370">
        <f>IFERROR('Расчет фасадов'!AD229,0)</f>
        <v>0</v>
      </c>
      <c r="I117" s="370">
        <f>IFERROR('Расчет фасадов'!AB229,0)</f>
        <v>0</v>
      </c>
      <c r="J117" s="370">
        <f>IFERROR('Расчет фасадов'!AA229,0)</f>
        <v>0</v>
      </c>
      <c r="K117" s="370" t="str">
        <f>IFERROR('Расчет фасадов'!AE229,0)</f>
        <v>Полуфабрикаты производимые в процессе</v>
      </c>
    </row>
    <row r="118" spans="1:46" ht="21" x14ac:dyDescent="0.4">
      <c r="C118" s="370">
        <v>3</v>
      </c>
      <c r="D118" s="370" t="str">
        <f>IFERROR('Расчет фасадов'!Y230,0)</f>
        <v>Фасад, Рамочный узкий профиль</v>
      </c>
      <c r="E118" s="370"/>
      <c r="F118" s="370">
        <f>IFERROR('Расчет фасадов'!Z230,0)</f>
        <v>0</v>
      </c>
      <c r="G118" s="370" t="str">
        <f>IFERROR('Расчет фасадов'!AC230,0)</f>
        <v>0мм-0шт</v>
      </c>
      <c r="H118" s="370">
        <f>IFERROR('Расчет фасадов'!AD230,0)</f>
        <v>0</v>
      </c>
      <c r="I118" s="370">
        <f>IFERROR('Расчет фасадов'!AB230,0)</f>
        <v>0</v>
      </c>
      <c r="J118" s="370">
        <f>IFERROR('Расчет фасадов'!AA230,0)</f>
        <v>0</v>
      </c>
      <c r="K118" s="370" t="str">
        <f>IFERROR('Расчет фасадов'!AE230,0)</f>
        <v>Полуфабрикаты производимые в процессе</v>
      </c>
    </row>
    <row r="119" spans="1:46" ht="21" x14ac:dyDescent="0.4">
      <c r="C119" s="370">
        <v>4</v>
      </c>
      <c r="D119" s="370" t="str">
        <f>IFERROR('Расчет фасадов'!Y231,0)</f>
        <v>Фасад, Рамочный узкий профиль</v>
      </c>
      <c r="E119" s="370"/>
      <c r="F119" s="370">
        <f>IFERROR('Расчет фасадов'!Z231,0)</f>
        <v>0</v>
      </c>
      <c r="G119" s="370" t="str">
        <f>IFERROR('Расчет фасадов'!AC231,0)</f>
        <v>0мм-0шт</v>
      </c>
      <c r="H119" s="370">
        <f>IFERROR('Расчет фасадов'!AD231,0)</f>
        <v>0</v>
      </c>
      <c r="I119" s="370">
        <f>IFERROR('Расчет фасадов'!AB231,0)</f>
        <v>0</v>
      </c>
      <c r="J119" s="370">
        <f>IFERROR('Расчет фасадов'!AA231,0)</f>
        <v>0</v>
      </c>
      <c r="K119" s="370" t="str">
        <f>IFERROR('Расчет фасадов'!AE231,0)</f>
        <v>Полуфабрикаты производимые в процессе</v>
      </c>
    </row>
    <row r="120" spans="1:46" ht="21" x14ac:dyDescent="0.4">
      <c r="C120" s="370">
        <v>5</v>
      </c>
      <c r="D120" s="370">
        <f>IFERROR('Расчет фасадов'!Y232,0)</f>
        <v>0</v>
      </c>
      <c r="E120" s="370"/>
      <c r="F120" s="370" t="str">
        <f>IFERROR('Расчет фасадов'!Z232,0)</f>
        <v>.</v>
      </c>
      <c r="G120" s="370">
        <f>IFERROR('Расчет фасадов'!AC232,0)</f>
        <v>0</v>
      </c>
      <c r="H120" s="370">
        <f>IFERROR('Расчет фасадов'!AD232,0)</f>
        <v>0</v>
      </c>
      <c r="I120" s="370" t="str">
        <f>IFERROR('Расчет фасадов'!AB232,0)</f>
        <v>В -6, Ш -6</v>
      </c>
      <c r="J120" s="370">
        <f>IFERROR('Расчет фасадов'!AA232,0)</f>
        <v>0</v>
      </c>
      <c r="K120" s="370" t="str">
        <f>IFERROR('Расчет фасадов'!AE232,0)</f>
        <v>Вставки</v>
      </c>
    </row>
    <row r="121" spans="1:46" ht="21" x14ac:dyDescent="0.4">
      <c r="C121" s="370">
        <v>6</v>
      </c>
      <c r="D121" s="370" t="str">
        <f>IFERROR('Расчет фасадов'!Y233,0)</f>
        <v>Воздушно-пузырьковая пленка 3-10-115 (1,2*100)</v>
      </c>
      <c r="E121" s="370"/>
      <c r="F121" s="370" t="str">
        <f>IFERROR('Расчет фасадов'!Z233,0)</f>
        <v>3-10-115</v>
      </c>
      <c r="G121" s="370">
        <f>IFERROR('Расчет фасадов'!AC233,0)</f>
        <v>0</v>
      </c>
      <c r="H121" s="370">
        <f>IFERROR('Расчет фасадов'!AD233,0)</f>
        <v>0</v>
      </c>
      <c r="I121" s="370">
        <f>IFERROR('Расчет фасадов'!AB233,0)</f>
        <v>0</v>
      </c>
      <c r="J121" s="370">
        <f>IFERROR('Расчет фасадов'!AA233,0)</f>
        <v>0</v>
      </c>
      <c r="K121" s="370" t="str">
        <f>IFERROR('Расчет фасадов'!AE233,0)</f>
        <v>Полуфабрикаты производимые в процессе</v>
      </c>
    </row>
    <row r="122" spans="1:46" ht="21" x14ac:dyDescent="0.4">
      <c r="C122" s="370">
        <v>7</v>
      </c>
      <c r="D122" s="370" t="str">
        <f>IFERROR('Расчет фасадов'!Y234,0)</f>
        <v>Новофлекс П 40-50 (L3100)</v>
      </c>
      <c r="E122" s="370"/>
      <c r="F122" s="370" t="str">
        <f>IFERROR('Расчет фасадов'!Z234,0)</f>
        <v>П 40-50</v>
      </c>
      <c r="G122" s="370">
        <f>IFERROR('Расчет фасадов'!AC234,0)</f>
        <v>0</v>
      </c>
      <c r="H122" s="370">
        <f>IFERROR('Расчет фасадов'!AD234,0)</f>
        <v>0</v>
      </c>
      <c r="I122" s="370">
        <f>IFERROR('Расчет фасадов'!AB234,0)</f>
        <v>0</v>
      </c>
      <c r="J122" s="370">
        <f>IFERROR('Расчет фасадов'!AA234,0)</f>
        <v>0</v>
      </c>
      <c r="K122" s="370" t="str">
        <f>IFERROR('Расчет фасадов'!AE234,0)</f>
        <v>Полуфабрикаты производимые в процессе</v>
      </c>
    </row>
    <row r="123" spans="1:46" ht="21" x14ac:dyDescent="0.4">
      <c r="C123" s="370">
        <v>8</v>
      </c>
      <c r="D123" s="370" t="str">
        <f>IFERROR('Расчет фасадов'!Y235,0)</f>
        <v>Стрейч плёнка 500*300 (087.0800.50) первичная</v>
      </c>
      <c r="E123" s="370"/>
      <c r="F123" s="370" t="str">
        <f>IFERROR('Расчет фасадов'!Z235,0)</f>
        <v>087.0800.50</v>
      </c>
      <c r="G123" s="370">
        <f>IFERROR('Расчет фасадов'!AC235,0)</f>
        <v>0</v>
      </c>
      <c r="H123" s="370">
        <f>IFERROR('Расчет фасадов'!AD235,0)</f>
        <v>0</v>
      </c>
      <c r="I123" s="370">
        <f>IFERROR('Расчет фасадов'!AB235,0)</f>
        <v>0</v>
      </c>
      <c r="J123" s="370">
        <f>IFERROR('Расчет фасадов'!AA235,0)</f>
        <v>0</v>
      </c>
      <c r="K123" s="370" t="str">
        <f>IFERROR('Расчет фасадов'!AE235,0)</f>
        <v>Полуфабрикаты производимые в процессе</v>
      </c>
    </row>
    <row r="124" spans="1:46" ht="21" x14ac:dyDescent="0.4">
      <c r="C124" s="370">
        <v>9</v>
      </c>
      <c r="D124" s="370" t="str">
        <f>IFERROR('Расчет фасадов'!Y236,0)</f>
        <v>Скотч АРИСТО 2021 06.21</v>
      </c>
      <c r="E124" s="370"/>
      <c r="F124" s="370" t="str">
        <f>IFERROR('Расчет фасадов'!Z236,0)</f>
        <v>ARR-0335</v>
      </c>
      <c r="G124" s="370">
        <f>IFERROR('Расчет фасадов'!AC236,0)</f>
        <v>0</v>
      </c>
      <c r="H124" s="370">
        <f>IFERROR('Расчет фасадов'!AD236,0)</f>
        <v>0</v>
      </c>
      <c r="I124" s="370">
        <f>IFERROR('Расчет фасадов'!AB236,0)</f>
        <v>0</v>
      </c>
      <c r="J124" s="370">
        <f>IFERROR('Расчет фасадов'!AA236,0)</f>
        <v>0</v>
      </c>
      <c r="K124" s="370" t="str">
        <f>IFERROR('Расчет фасадов'!AE236,0)</f>
        <v>Полуфабрикаты производимые в процессе</v>
      </c>
    </row>
    <row r="125" spans="1:46" ht="21" x14ac:dyDescent="0.4">
      <c r="C125" s="370">
        <v>10</v>
      </c>
      <c r="D125" s="370" t="str">
        <f>IFERROR('Расчет фасадов'!Y237,0)</f>
        <v>Клейкая лента прозрачная 72мм*45мм*50мкм</v>
      </c>
      <c r="E125" s="370"/>
      <c r="F125" s="370" t="str">
        <f>IFERROR('Расчет фасадов'!Z237,0)</f>
        <v>0800.50</v>
      </c>
      <c r="G125" s="370">
        <f>IFERROR('Расчет фасадов'!AC237,0)</f>
        <v>0</v>
      </c>
      <c r="H125" s="370">
        <f>IFERROR('Расчет фасадов'!AD237,0)</f>
        <v>0</v>
      </c>
      <c r="I125" s="370">
        <f>IFERROR('Расчет фасадов'!AB237,0)</f>
        <v>0</v>
      </c>
      <c r="J125" s="370">
        <f>IFERROR('Расчет фасадов'!AA237,0)</f>
        <v>0</v>
      </c>
      <c r="K125" s="370" t="str">
        <f>IFERROR('Расчет фасадов'!AE237,0)</f>
        <v>Полуфабрикаты производимые в процессе</v>
      </c>
    </row>
    <row r="126" spans="1:46" ht="21" x14ac:dyDescent="0.4">
      <c r="C126" s="370">
        <v>11</v>
      </c>
      <c r="D126" s="370" t="str">
        <f>IFERROR('Расчет фасадов'!Y238,0)</f>
        <v>Клейкая ленка "ОСТОРОЖНО! СТЕКЛО"</v>
      </c>
      <c r="E126" s="370"/>
      <c r="F126" s="370" t="str">
        <f>IFERROR('Расчет фасадов'!Z238,0)</f>
        <v>43скл</v>
      </c>
      <c r="G126" s="370">
        <f>IFERROR('Расчет фасадов'!AC238,0)</f>
        <v>0</v>
      </c>
      <c r="H126" s="370">
        <f>IFERROR('Расчет фасадов'!AD238,0)</f>
        <v>0</v>
      </c>
      <c r="I126" s="370">
        <f>IFERROR('Расчет фасадов'!AB238,0)</f>
        <v>0</v>
      </c>
      <c r="J126" s="370">
        <f>IFERROR('Расчет фасадов'!AA238,0)</f>
        <v>1</v>
      </c>
      <c r="K126" s="370" t="str">
        <f>IFERROR('Расчет фасадов'!AE238,0)</f>
        <v>Полуфабрикаты производимые в процессе</v>
      </c>
    </row>
    <row r="127" spans="1:46" ht="21" x14ac:dyDescent="0.4">
      <c r="C127" s="370">
        <v>12</v>
      </c>
      <c r="D127" s="370" t="str">
        <f>IFERROR('Расчет фасадов'!Y239,0)</f>
        <v>Пленка-мешок полиэтиленовый 250*700*0,1</v>
      </c>
      <c r="E127" s="370"/>
      <c r="F127" s="370" t="str">
        <f>IFERROR('Расчет фасадов'!Z239,0)</f>
        <v>250*700*0,1</v>
      </c>
      <c r="G127" s="370">
        <f>IFERROR('Расчет фасадов'!AC239,0)</f>
        <v>0</v>
      </c>
      <c r="H127" s="370">
        <f>IFERROR('Расчет фасадов'!AD239,0)</f>
        <v>1</v>
      </c>
      <c r="I127" s="370">
        <f>IFERROR('Расчет фасадов'!AB239,0)</f>
        <v>0</v>
      </c>
      <c r="J127" s="370">
        <f>IFERROR('Расчет фасадов'!AA239,0)</f>
        <v>1</v>
      </c>
      <c r="K127" s="370" t="str">
        <f>IFERROR('Расчет фасадов'!AE239,0)</f>
        <v>Полуфабрикаты производимые в процессе</v>
      </c>
    </row>
    <row r="128" spans="1:46" ht="21" x14ac:dyDescent="0.4">
      <c r="C128" s="370">
        <v>13</v>
      </c>
      <c r="D128" s="370">
        <f>IFERROR('Расчет фасадов'!Y240,0)</f>
        <v>0</v>
      </c>
      <c r="E128" s="370"/>
      <c r="F128" s="370">
        <f>IFERROR('Расчет фасадов'!Z240,0)</f>
        <v>0</v>
      </c>
      <c r="G128" s="370">
        <f>IFERROR('Расчет фасадов'!AC240,0)</f>
        <v>0</v>
      </c>
      <c r="H128" s="370">
        <f>IFERROR('Расчет фасадов'!AD240,0)</f>
        <v>0</v>
      </c>
      <c r="I128" s="370">
        <f>IFERROR('Расчет фасадов'!AB240,0)</f>
        <v>0</v>
      </c>
      <c r="J128" s="370">
        <f>IFERROR('Расчет фасадов'!AA240,0)</f>
        <v>0</v>
      </c>
      <c r="K128" s="370" t="str">
        <f>IFERROR('Расчет фасадов'!AE240,0)</f>
        <v>Фурнитура</v>
      </c>
    </row>
    <row r="129" spans="1:46" ht="21" x14ac:dyDescent="0.4">
      <c r="C129" s="370">
        <v>14</v>
      </c>
      <c r="D129" s="370">
        <f>IFERROR('Расчет фасадов'!Y241,0)</f>
        <v>0</v>
      </c>
      <c r="E129" s="370"/>
      <c r="F129" s="370">
        <f>IFERROR('Расчет фасадов'!Z241,0)</f>
        <v>0</v>
      </c>
      <c r="G129" s="370">
        <f>IFERROR('Расчет фасадов'!AC241,0)</f>
        <v>0</v>
      </c>
      <c r="H129" s="370">
        <f>IFERROR('Расчет фасадов'!AD241,0)</f>
        <v>0</v>
      </c>
      <c r="I129" s="370">
        <f>IFERROR('Расчет фасадов'!AB241,0)</f>
        <v>0</v>
      </c>
      <c r="J129" s="370">
        <f>IFERROR('Расчет фасадов'!AA241,0)</f>
        <v>0</v>
      </c>
      <c r="K129" s="370" t="str">
        <f>IFERROR('Расчет фасадов'!AE241,0)</f>
        <v>Полуфабрикаты производимые в процессе</v>
      </c>
    </row>
    <row r="130" spans="1:46" ht="21.6" thickBot="1" x14ac:dyDescent="0.45">
      <c r="A130" s="245"/>
      <c r="B130" s="245"/>
      <c r="C130" s="373">
        <v>15</v>
      </c>
      <c r="D130" s="373">
        <f>IFERROR('Расчет фасадов'!Y242,0)</f>
        <v>0</v>
      </c>
      <c r="E130" s="373"/>
      <c r="F130" s="373">
        <f>IFERROR('Расчет фасадов'!Z242,0)</f>
        <v>0</v>
      </c>
      <c r="G130" s="373">
        <f>IFERROR('Расчет фасадов'!AC242,0)</f>
        <v>0</v>
      </c>
      <c r="H130" s="373">
        <f>IFERROR('Расчет фасадов'!AD242,0)</f>
        <v>0</v>
      </c>
      <c r="I130" s="373">
        <f>IFERROR('Расчет фасадов'!AB242,0)</f>
        <v>0</v>
      </c>
      <c r="J130" s="373">
        <f>IFERROR('Расчет фасадов'!AA242,0)</f>
        <v>0</v>
      </c>
      <c r="K130" s="373" t="str">
        <f>IFERROR('Расчет фасадов'!AE242,0)</f>
        <v>Фурнитура</v>
      </c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  <c r="AF130" s="245"/>
      <c r="AG130" s="245"/>
      <c r="AH130" s="245"/>
      <c r="AI130" s="245"/>
      <c r="AJ130" s="245"/>
      <c r="AK130" s="245"/>
      <c r="AL130" s="245"/>
      <c r="AM130" s="245"/>
      <c r="AN130" s="245"/>
      <c r="AO130" s="245"/>
      <c r="AP130" s="245"/>
      <c r="AQ130" s="245"/>
      <c r="AR130" s="245"/>
      <c r="AS130" s="245"/>
      <c r="AT130" s="245"/>
    </row>
    <row r="131" spans="1:46" ht="46.8" x14ac:dyDescent="0.3">
      <c r="B131" s="344" t="s">
        <v>521</v>
      </c>
      <c r="C131" s="344"/>
      <c r="D131" s="344" t="s">
        <v>2</v>
      </c>
      <c r="E131" s="344" t="s">
        <v>0</v>
      </c>
      <c r="F131" s="344" t="s">
        <v>233</v>
      </c>
      <c r="G131" s="345" t="s">
        <v>558</v>
      </c>
      <c r="H131" s="346" t="s">
        <v>559</v>
      </c>
      <c r="I131" s="346" t="s">
        <v>560</v>
      </c>
      <c r="J131" s="347" t="s">
        <v>149</v>
      </c>
      <c r="K131" s="348" t="s">
        <v>237</v>
      </c>
      <c r="L131" s="349" t="s">
        <v>522</v>
      </c>
      <c r="M131" s="350"/>
      <c r="N131" s="338" t="s">
        <v>14</v>
      </c>
      <c r="O131" s="338" t="s">
        <v>523</v>
      </c>
      <c r="P131" s="338" t="s">
        <v>524</v>
      </c>
      <c r="Q131" s="338" t="s">
        <v>525</v>
      </c>
      <c r="R131" s="338" t="s">
        <v>526</v>
      </c>
      <c r="S131" s="338" t="s">
        <v>527</v>
      </c>
      <c r="T131" s="338" t="s">
        <v>528</v>
      </c>
      <c r="U131" s="338" t="s">
        <v>529</v>
      </c>
      <c r="V131" s="338" t="s">
        <v>530</v>
      </c>
      <c r="W131" s="338" t="s">
        <v>531</v>
      </c>
      <c r="X131" s="338" t="s">
        <v>532</v>
      </c>
      <c r="Y131" s="351" t="s">
        <v>533</v>
      </c>
      <c r="Z131" s="338" t="s">
        <v>534</v>
      </c>
      <c r="AA131" s="338" t="s">
        <v>535</v>
      </c>
      <c r="AB131" s="352" t="s">
        <v>536</v>
      </c>
      <c r="AC131" s="338" t="s">
        <v>537</v>
      </c>
      <c r="AD131" s="338" t="s">
        <v>538</v>
      </c>
      <c r="AE131" s="338" t="s">
        <v>539</v>
      </c>
      <c r="AF131" s="338" t="s">
        <v>540</v>
      </c>
      <c r="AG131" s="338" t="s">
        <v>541</v>
      </c>
      <c r="AH131" s="338" t="s">
        <v>542</v>
      </c>
      <c r="AI131" s="338" t="s">
        <v>543</v>
      </c>
      <c r="AJ131" s="338" t="s">
        <v>379</v>
      </c>
    </row>
    <row r="132" spans="1:46" ht="21" x14ac:dyDescent="0.4">
      <c r="A132" t="str">
        <f>IF('Фасады EDGE'!$X$32&gt;0, "ВФасад", "Пусто")</f>
        <v>Пусто</v>
      </c>
      <c r="B132" s="662" t="s">
        <v>556</v>
      </c>
      <c r="C132" s="367">
        <v>1</v>
      </c>
      <c r="D132" s="367" t="str">
        <f>IFERROR('Расчет фасадов'!Y260,0)</f>
        <v>Фасад, Рамочный узкий профиль</v>
      </c>
      <c r="E132" s="367"/>
      <c r="F132" s="367">
        <f>IFERROR('Расчет фасадов'!Z260,0)</f>
        <v>0</v>
      </c>
      <c r="G132" s="367" t="str">
        <f>IFERROR('Расчет фасадов'!AC260,0)</f>
        <v>0мм-0шт</v>
      </c>
      <c r="H132" s="368">
        <f>IFERROR('Расчет фасадов'!AD260,0)</f>
        <v>0</v>
      </c>
      <c r="I132" s="367">
        <f>IFERROR('Расчет фасадов'!AB260,0)</f>
        <v>0</v>
      </c>
      <c r="J132" s="369">
        <f>IFERROR('Расчет фасадов'!AA260,0)</f>
        <v>0</v>
      </c>
      <c r="K132" s="367" t="str">
        <f>IFERROR('Расчет фасадов'!AE260,0)</f>
        <v>Полуфабрикаты производимые в процессе</v>
      </c>
      <c r="N132" t="s">
        <v>544</v>
      </c>
      <c r="O132" t="s">
        <v>545</v>
      </c>
      <c r="P132" t="str">
        <f>IFERROR('Расчет фасадов'!$B$265,0)</f>
        <v>.</v>
      </c>
      <c r="V132" t="s">
        <v>546</v>
      </c>
      <c r="W132" t="s">
        <v>546</v>
      </c>
      <c r="X132" t="s">
        <v>547</v>
      </c>
      <c r="Y132" t="s">
        <v>361</v>
      </c>
      <c r="AA132">
        <f>'Фасады EDGE'!$C$32</f>
        <v>0</v>
      </c>
      <c r="AB132" t="s">
        <v>556</v>
      </c>
      <c r="AC132">
        <f>'Фасады EDGE'!$G$32</f>
        <v>0</v>
      </c>
      <c r="AD132">
        <f>'Фасады EDGE'!$I$32</f>
        <v>0</v>
      </c>
      <c r="AJ132" s="133">
        <f>'Фасады EDGE'!$W$32</f>
        <v>0</v>
      </c>
    </row>
    <row r="133" spans="1:46" ht="21" x14ac:dyDescent="0.4">
      <c r="B133" s="662"/>
      <c r="C133" s="370">
        <v>2</v>
      </c>
      <c r="D133" s="370" t="str">
        <f>IFERROR('Расчет фасадов'!Y261,0)</f>
        <v>Фасад, Рамочный узкий профиль</v>
      </c>
      <c r="E133" s="370"/>
      <c r="F133" s="370">
        <f>IFERROR('Расчет фасадов'!Z261,0)</f>
        <v>0</v>
      </c>
      <c r="G133" s="370" t="str">
        <f>IFERROR('Расчет фасадов'!AC261,0)</f>
        <v>0мм-0шт</v>
      </c>
      <c r="H133" s="370">
        <f>IFERROR('Расчет фасадов'!AD261,0)</f>
        <v>0</v>
      </c>
      <c r="I133" s="370">
        <f>IFERROR('Расчет фасадов'!AB261,0)</f>
        <v>0</v>
      </c>
      <c r="J133" s="370">
        <f>IFERROR('Расчет фасадов'!AA261,0)</f>
        <v>0</v>
      </c>
      <c r="K133" s="370" t="str">
        <f>IFERROR('Расчет фасадов'!AE261,0)</f>
        <v>Полуфабрикаты производимые в процессе</v>
      </c>
    </row>
    <row r="134" spans="1:46" ht="21" x14ac:dyDescent="0.4">
      <c r="C134" s="370">
        <v>3</v>
      </c>
      <c r="D134" s="370" t="str">
        <f>IFERROR('Расчет фасадов'!Y262,0)</f>
        <v>Фасад, Рамочный узкий профиль</v>
      </c>
      <c r="E134" s="370"/>
      <c r="F134" s="370">
        <f>IFERROR('Расчет фасадов'!Z262,0)</f>
        <v>0</v>
      </c>
      <c r="G134" s="370" t="str">
        <f>IFERROR('Расчет фасадов'!AC262,0)</f>
        <v>0мм-0шт</v>
      </c>
      <c r="H134" s="370">
        <f>IFERROR('Расчет фасадов'!AD262,0)</f>
        <v>0</v>
      </c>
      <c r="I134" s="370">
        <f>IFERROR('Расчет фасадов'!AB262,0)</f>
        <v>0</v>
      </c>
      <c r="J134" s="370">
        <f>IFERROR('Расчет фасадов'!AA262,0)</f>
        <v>0</v>
      </c>
      <c r="K134" s="370" t="str">
        <f>IFERROR('Расчет фасадов'!AE262,0)</f>
        <v>Полуфабрикаты производимые в процессе</v>
      </c>
    </row>
    <row r="135" spans="1:46" ht="21" x14ac:dyDescent="0.4">
      <c r="C135" s="370">
        <v>4</v>
      </c>
      <c r="D135" s="370" t="str">
        <f>IFERROR('Расчет фасадов'!Y263,0)</f>
        <v>Фасад, Рамочный узкий профиль</v>
      </c>
      <c r="E135" s="370"/>
      <c r="F135" s="370">
        <f>IFERROR('Расчет фасадов'!Z263,0)</f>
        <v>0</v>
      </c>
      <c r="G135" s="370" t="str">
        <f>IFERROR('Расчет фасадов'!AC263,0)</f>
        <v>0мм-0шт</v>
      </c>
      <c r="H135" s="370">
        <f>IFERROR('Расчет фасадов'!AD263,0)</f>
        <v>0</v>
      </c>
      <c r="I135" s="370">
        <f>IFERROR('Расчет фасадов'!AB263,0)</f>
        <v>0</v>
      </c>
      <c r="J135" s="370">
        <f>IFERROR('Расчет фасадов'!AA263,0)</f>
        <v>0</v>
      </c>
      <c r="K135" s="370" t="str">
        <f>IFERROR('Расчет фасадов'!AE263,0)</f>
        <v>Полуфабрикаты производимые в процессе</v>
      </c>
    </row>
    <row r="136" spans="1:46" ht="21" x14ac:dyDescent="0.4">
      <c r="C136" s="370">
        <v>5</v>
      </c>
      <c r="D136" s="370">
        <f>IFERROR('Расчет фасадов'!Y264,0)</f>
        <v>0</v>
      </c>
      <c r="E136" s="370"/>
      <c r="F136" s="370" t="str">
        <f>IFERROR('Расчет фасадов'!Z264,0)</f>
        <v>.</v>
      </c>
      <c r="G136" s="370">
        <f>IFERROR('Расчет фасадов'!AC264,0)</f>
        <v>0</v>
      </c>
      <c r="H136" s="370">
        <f>IFERROR('Расчет фасадов'!AD264,0)</f>
        <v>0</v>
      </c>
      <c r="I136" s="370" t="str">
        <f>IFERROR('Расчет фасадов'!AB264,0)</f>
        <v>В -6, Ш -6</v>
      </c>
      <c r="J136" s="370">
        <f>IFERROR('Расчет фасадов'!AA264,0)</f>
        <v>0</v>
      </c>
      <c r="K136" s="370" t="str">
        <f>IFERROR('Расчет фасадов'!AE264,0)</f>
        <v>Вставки</v>
      </c>
    </row>
    <row r="137" spans="1:46" ht="21" x14ac:dyDescent="0.4">
      <c r="C137" s="370">
        <v>6</v>
      </c>
      <c r="D137" s="370" t="str">
        <f>IFERROR('Расчет фасадов'!Y265,0)</f>
        <v>Воздушно-пузырьковая пленка 3-10-115 (1,2*100)</v>
      </c>
      <c r="E137" s="370"/>
      <c r="F137" s="370" t="str">
        <f>IFERROR('Расчет фасадов'!Z265,0)</f>
        <v>3-10-115</v>
      </c>
      <c r="G137" s="370">
        <f>IFERROR('Расчет фасадов'!AC265,0)</f>
        <v>0</v>
      </c>
      <c r="H137" s="370">
        <f>IFERROR('Расчет фасадов'!AD265,0)</f>
        <v>0</v>
      </c>
      <c r="I137" s="370">
        <f>IFERROR('Расчет фасадов'!AB265,0)</f>
        <v>0</v>
      </c>
      <c r="J137" s="370">
        <f>IFERROR('Расчет фасадов'!AA265,0)</f>
        <v>0</v>
      </c>
      <c r="K137" s="370" t="str">
        <f>IFERROR('Расчет фасадов'!AE265,0)</f>
        <v>Полуфабрикаты производимые в процессе</v>
      </c>
    </row>
    <row r="138" spans="1:46" ht="21" x14ac:dyDescent="0.4">
      <c r="C138" s="370">
        <v>7</v>
      </c>
      <c r="D138" s="370" t="str">
        <f>IFERROR('Расчет фасадов'!Y266,0)</f>
        <v>Новофлекс П 40-50 (L3100)</v>
      </c>
      <c r="E138" s="370"/>
      <c r="F138" s="370" t="str">
        <f>IFERROR('Расчет фасадов'!Z266,0)</f>
        <v>П 40-50</v>
      </c>
      <c r="G138" s="370">
        <f>IFERROR('Расчет фасадов'!AC266,0)</f>
        <v>0</v>
      </c>
      <c r="H138" s="370">
        <f>IFERROR('Расчет фасадов'!AD266,0)</f>
        <v>0</v>
      </c>
      <c r="I138" s="370">
        <f>IFERROR('Расчет фасадов'!AB266,0)</f>
        <v>0</v>
      </c>
      <c r="J138" s="370">
        <f>IFERROR('Расчет фасадов'!AA266,0)</f>
        <v>0</v>
      </c>
      <c r="K138" s="370" t="str">
        <f>IFERROR('Расчет фасадов'!AE266,0)</f>
        <v>Полуфабрикаты производимые в процессе</v>
      </c>
    </row>
    <row r="139" spans="1:46" ht="21" x14ac:dyDescent="0.4">
      <c r="C139" s="370">
        <v>8</v>
      </c>
      <c r="D139" s="370" t="str">
        <f>IFERROR('Расчет фасадов'!Y267,0)</f>
        <v>Стрейч плёнка 500*300 (087.0800.50) первичная</v>
      </c>
      <c r="E139" s="370"/>
      <c r="F139" s="370" t="str">
        <f>IFERROR('Расчет фасадов'!Z267,0)</f>
        <v>087.0800.50</v>
      </c>
      <c r="G139" s="370">
        <f>IFERROR('Расчет фасадов'!AC267,0)</f>
        <v>0</v>
      </c>
      <c r="H139" s="370">
        <f>IFERROR('Расчет фасадов'!AD267,0)</f>
        <v>0</v>
      </c>
      <c r="I139" s="370">
        <f>IFERROR('Расчет фасадов'!AB267,0)</f>
        <v>0</v>
      </c>
      <c r="J139" s="370">
        <f>IFERROR('Расчет фасадов'!AA267,0)</f>
        <v>0</v>
      </c>
      <c r="K139" s="370" t="str">
        <f>IFERROR('Расчет фасадов'!AE267,0)</f>
        <v>Полуфабрикаты производимые в процессе</v>
      </c>
    </row>
    <row r="140" spans="1:46" ht="21" x14ac:dyDescent="0.4">
      <c r="C140" s="370">
        <v>9</v>
      </c>
      <c r="D140" s="370" t="str">
        <f>IFERROR('Расчет фасадов'!Y268,0)</f>
        <v>Скотч АРИСТО 2021 06.21</v>
      </c>
      <c r="E140" s="370"/>
      <c r="F140" s="370" t="str">
        <f>IFERROR('Расчет фасадов'!Z268,0)</f>
        <v>ARR-0335</v>
      </c>
      <c r="G140" s="370">
        <f>IFERROR('Расчет фасадов'!AC268,0)</f>
        <v>0</v>
      </c>
      <c r="H140" s="370">
        <f>IFERROR('Расчет фасадов'!AD268,0)</f>
        <v>0</v>
      </c>
      <c r="I140" s="370">
        <f>IFERROR('Расчет фасадов'!AB268,0)</f>
        <v>0</v>
      </c>
      <c r="J140" s="370">
        <f>IFERROR('Расчет фасадов'!AA268,0)</f>
        <v>0</v>
      </c>
      <c r="K140" s="370" t="str">
        <f>IFERROR('Расчет фасадов'!AE268,0)</f>
        <v>Полуфабрикаты производимые в процессе</v>
      </c>
    </row>
    <row r="141" spans="1:46" ht="21" x14ac:dyDescent="0.4">
      <c r="C141" s="370">
        <v>10</v>
      </c>
      <c r="D141" s="370" t="str">
        <f>IFERROR('Расчет фасадов'!Y269,0)</f>
        <v>Клейкая лента прозрачная 72мм*45мм*50мкм</v>
      </c>
      <c r="E141" s="370"/>
      <c r="F141" s="370" t="str">
        <f>IFERROR('Расчет фасадов'!Z269,0)</f>
        <v>0800.50</v>
      </c>
      <c r="G141" s="370">
        <f>IFERROR('Расчет фасадов'!AC269,0)</f>
        <v>0</v>
      </c>
      <c r="H141" s="370">
        <f>IFERROR('Расчет фасадов'!AD269,0)</f>
        <v>0</v>
      </c>
      <c r="I141" s="370">
        <f>IFERROR('Расчет фасадов'!AB269,0)</f>
        <v>0</v>
      </c>
      <c r="J141" s="370">
        <f>IFERROR('Расчет фасадов'!AA269,0)</f>
        <v>0</v>
      </c>
      <c r="K141" s="370" t="str">
        <f>IFERROR('Расчет фасадов'!AE269,0)</f>
        <v>Полуфабрикаты производимые в процессе</v>
      </c>
    </row>
    <row r="142" spans="1:46" ht="21" x14ac:dyDescent="0.4">
      <c r="C142" s="370">
        <v>11</v>
      </c>
      <c r="D142" s="370" t="str">
        <f>IFERROR('Расчет фасадов'!Y270,0)</f>
        <v>Клейкая ленка "ОСТОРОЖНО! СТЕКЛО"</v>
      </c>
      <c r="E142" s="370"/>
      <c r="F142" s="370" t="str">
        <f>IFERROR('Расчет фасадов'!Z270,0)</f>
        <v>43скл</v>
      </c>
      <c r="G142" s="370">
        <f>IFERROR('Расчет фасадов'!AC270,0)</f>
        <v>0</v>
      </c>
      <c r="H142" s="370">
        <f>IFERROR('Расчет фасадов'!AD270,0)</f>
        <v>0</v>
      </c>
      <c r="I142" s="370">
        <f>IFERROR('Расчет фасадов'!AB270,0)</f>
        <v>0</v>
      </c>
      <c r="J142" s="370">
        <f>IFERROR('Расчет фасадов'!AA270,0)</f>
        <v>1</v>
      </c>
      <c r="K142" s="370" t="str">
        <f>IFERROR('Расчет фасадов'!AE270,0)</f>
        <v>Полуфабрикаты производимые в процессе</v>
      </c>
    </row>
    <row r="143" spans="1:46" ht="21" x14ac:dyDescent="0.4">
      <c r="C143" s="370">
        <v>12</v>
      </c>
      <c r="D143" s="370" t="str">
        <f>IFERROR('Расчет фасадов'!Y271,0)</f>
        <v>Пленка-мешок полиэтиленовый 250*700*0,1</v>
      </c>
      <c r="E143" s="370"/>
      <c r="F143" s="370" t="str">
        <f>IFERROR('Расчет фасадов'!Z271,0)</f>
        <v>250*700*0,1</v>
      </c>
      <c r="G143" s="370">
        <f>IFERROR('Расчет фасадов'!AC271,0)</f>
        <v>0</v>
      </c>
      <c r="H143" s="370">
        <f>IFERROR('Расчет фасадов'!AD271,0)</f>
        <v>1</v>
      </c>
      <c r="I143" s="370">
        <f>IFERROR('Расчет фасадов'!AB271,0)</f>
        <v>0</v>
      </c>
      <c r="J143" s="370">
        <f>IFERROR('Расчет фасадов'!AA271,0)</f>
        <v>1</v>
      </c>
      <c r="K143" s="370" t="str">
        <f>IFERROR('Расчет фасадов'!AE271,0)</f>
        <v>Полуфабрикаты производимые в процессе</v>
      </c>
    </row>
    <row r="144" spans="1:46" ht="21" x14ac:dyDescent="0.4">
      <c r="C144" s="370">
        <v>13</v>
      </c>
      <c r="D144" s="370">
        <f>IFERROR('Расчет фасадов'!Y272,0)</f>
        <v>0</v>
      </c>
      <c r="E144" s="370"/>
      <c r="F144" s="370">
        <f>IFERROR('Расчет фасадов'!Z272,0)</f>
        <v>0</v>
      </c>
      <c r="G144" s="370">
        <f>IFERROR('Расчет фасадов'!AC272,0)</f>
        <v>0</v>
      </c>
      <c r="H144" s="370">
        <f>IFERROR('Расчет фасадов'!AD272,0)</f>
        <v>0</v>
      </c>
      <c r="I144" s="370">
        <f>IFERROR('Расчет фасадов'!AB272,0)</f>
        <v>0</v>
      </c>
      <c r="J144" s="370">
        <f>IFERROR('Расчет фасадов'!AA272,0)</f>
        <v>0</v>
      </c>
      <c r="K144" s="370" t="str">
        <f>IFERROR('Расчет фасадов'!AE272,0)</f>
        <v>Фурнитура</v>
      </c>
    </row>
    <row r="145" spans="1:46" ht="21" x14ac:dyDescent="0.4">
      <c r="C145" s="370">
        <v>14</v>
      </c>
      <c r="D145" s="370">
        <f>IFERROR('Расчет фасадов'!Y273,0)</f>
        <v>0</v>
      </c>
      <c r="E145" s="370"/>
      <c r="F145" s="370">
        <f>IFERROR('Расчет фасадов'!Z273,0)</f>
        <v>0</v>
      </c>
      <c r="G145" s="370">
        <f>IFERROR('Расчет фасадов'!AC273,0)</f>
        <v>0</v>
      </c>
      <c r="H145" s="370">
        <f>IFERROR('Расчет фасадов'!AD273,0)</f>
        <v>0</v>
      </c>
      <c r="I145" s="370">
        <f>IFERROR('Расчет фасадов'!AB273,0)</f>
        <v>0</v>
      </c>
      <c r="J145" s="370">
        <f>IFERROR('Расчет фасадов'!AA273,0)</f>
        <v>0</v>
      </c>
      <c r="K145" s="370" t="str">
        <f>IFERROR('Расчет фасадов'!AE273,0)</f>
        <v>Полуфабрикаты производимые в процессе</v>
      </c>
    </row>
    <row r="146" spans="1:46" ht="21.6" thickBot="1" x14ac:dyDescent="0.45">
      <c r="A146" s="245"/>
      <c r="B146" s="245"/>
      <c r="C146" s="373">
        <v>15</v>
      </c>
      <c r="D146" s="373">
        <f>IFERROR('Расчет фасадов'!Y274,0)</f>
        <v>0</v>
      </c>
      <c r="E146" s="373"/>
      <c r="F146" s="373">
        <f>IFERROR('Расчет фасадов'!Z274,0)</f>
        <v>0</v>
      </c>
      <c r="G146" s="373">
        <f>IFERROR('Расчет фасадов'!AC274,0)</f>
        <v>0</v>
      </c>
      <c r="H146" s="373">
        <f>IFERROR('Расчет фасадов'!AD274,0)</f>
        <v>0</v>
      </c>
      <c r="I146" s="373">
        <f>IFERROR('Расчет фасадов'!AB274,0)</f>
        <v>0</v>
      </c>
      <c r="J146" s="373">
        <f>IFERROR('Расчет фасадов'!AA274,0)</f>
        <v>0</v>
      </c>
      <c r="K146" s="373" t="str">
        <f>IFERROR('Расчет фасадов'!AE274,0)</f>
        <v>Фурнитура</v>
      </c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F146" s="245"/>
      <c r="AG146" s="245"/>
      <c r="AH146" s="245"/>
      <c r="AI146" s="245"/>
      <c r="AJ146" s="245"/>
      <c r="AK146" s="245"/>
      <c r="AL146" s="245"/>
      <c r="AM146" s="245"/>
      <c r="AN146" s="245"/>
      <c r="AO146" s="245"/>
      <c r="AP146" s="245"/>
      <c r="AQ146" s="245"/>
      <c r="AR146" s="245"/>
      <c r="AS146" s="245"/>
      <c r="AT146" s="245"/>
    </row>
    <row r="147" spans="1:46" ht="46.8" x14ac:dyDescent="0.3">
      <c r="B147" s="344" t="s">
        <v>521</v>
      </c>
      <c r="C147" s="344"/>
      <c r="D147" s="344" t="s">
        <v>2</v>
      </c>
      <c r="E147" s="344" t="s">
        <v>0</v>
      </c>
      <c r="F147" s="344" t="s">
        <v>233</v>
      </c>
      <c r="G147" s="345" t="s">
        <v>558</v>
      </c>
      <c r="H147" s="346" t="s">
        <v>559</v>
      </c>
      <c r="I147" s="346" t="s">
        <v>560</v>
      </c>
      <c r="J147" s="347" t="s">
        <v>149</v>
      </c>
      <c r="K147" s="348" t="s">
        <v>237</v>
      </c>
      <c r="L147" s="349" t="s">
        <v>522</v>
      </c>
      <c r="M147" s="350"/>
      <c r="N147" s="338" t="s">
        <v>14</v>
      </c>
      <c r="O147" s="338" t="s">
        <v>523</v>
      </c>
      <c r="P147" s="338" t="s">
        <v>524</v>
      </c>
      <c r="Q147" s="338" t="s">
        <v>525</v>
      </c>
      <c r="R147" s="338" t="s">
        <v>526</v>
      </c>
      <c r="S147" s="338" t="s">
        <v>527</v>
      </c>
      <c r="T147" s="338" t="s">
        <v>528</v>
      </c>
      <c r="U147" s="338" t="s">
        <v>529</v>
      </c>
      <c r="V147" s="338" t="s">
        <v>530</v>
      </c>
      <c r="W147" s="338" t="s">
        <v>531</v>
      </c>
      <c r="X147" s="338" t="s">
        <v>532</v>
      </c>
      <c r="Y147" s="351" t="s">
        <v>533</v>
      </c>
      <c r="Z147" s="338" t="s">
        <v>534</v>
      </c>
      <c r="AA147" s="338" t="s">
        <v>535</v>
      </c>
      <c r="AB147" s="352" t="s">
        <v>536</v>
      </c>
      <c r="AC147" s="338" t="s">
        <v>537</v>
      </c>
      <c r="AD147" s="338" t="s">
        <v>538</v>
      </c>
      <c r="AE147" s="338" t="s">
        <v>539</v>
      </c>
      <c r="AF147" s="338" t="s">
        <v>540</v>
      </c>
      <c r="AG147" s="338" t="s">
        <v>541</v>
      </c>
      <c r="AH147" s="338" t="s">
        <v>542</v>
      </c>
      <c r="AI147" s="338" t="s">
        <v>543</v>
      </c>
      <c r="AJ147" s="338" t="s">
        <v>379</v>
      </c>
    </row>
    <row r="148" spans="1:46" ht="21" x14ac:dyDescent="0.4">
      <c r="A148" t="str">
        <f>IF('Фасады EDGE'!$X$35&gt;0, "ВФасад", "Пусто")</f>
        <v>Пусто</v>
      </c>
      <c r="B148" s="662" t="s">
        <v>557</v>
      </c>
      <c r="C148" s="367">
        <v>1</v>
      </c>
      <c r="D148" s="367" t="str">
        <f>IFERROR('Расчет фасадов'!Y292,0)</f>
        <v>Фасад, Рамочный узкий профиль</v>
      </c>
      <c r="E148" s="367"/>
      <c r="F148" s="367">
        <f>IFERROR('Расчет фасадов'!Z292,0)</f>
        <v>0</v>
      </c>
      <c r="G148" s="367" t="str">
        <f>IFERROR('Расчет фасадов'!AC292,0)</f>
        <v>0мм-0шт</v>
      </c>
      <c r="H148" s="368">
        <f>IFERROR('Расчет фасадов'!AD292,0)</f>
        <v>0</v>
      </c>
      <c r="I148" s="367">
        <f>IFERROR('Расчет фасадов'!AB292,0)</f>
        <v>0</v>
      </c>
      <c r="J148" s="369">
        <f>IFERROR('Расчет фасадов'!AA292,0)</f>
        <v>0</v>
      </c>
      <c r="K148" s="367" t="str">
        <f>IFERROR('Расчет фасадов'!AE292,0)</f>
        <v>Полуфабрикаты производимые в процессе</v>
      </c>
      <c r="N148" t="s">
        <v>544</v>
      </c>
      <c r="O148" t="s">
        <v>545</v>
      </c>
      <c r="P148" s="133" t="str">
        <f>IFERROR('Расчет фасадов'!$B$297,0)</f>
        <v>.</v>
      </c>
      <c r="V148" t="s">
        <v>546</v>
      </c>
      <c r="W148" t="s">
        <v>546</v>
      </c>
      <c r="X148" t="s">
        <v>547</v>
      </c>
      <c r="Y148" t="s">
        <v>361</v>
      </c>
      <c r="AA148">
        <f>'Фасады EDGE'!$C$35</f>
        <v>0</v>
      </c>
      <c r="AB148" t="s">
        <v>557</v>
      </c>
      <c r="AC148">
        <f>'Фасады EDGE'!$G$35</f>
        <v>0</v>
      </c>
      <c r="AD148">
        <f>'Фасады EDGE'!$I$35</f>
        <v>0</v>
      </c>
      <c r="AJ148" s="133">
        <f>'Фасады EDGE'!$W$35</f>
        <v>0</v>
      </c>
    </row>
    <row r="149" spans="1:46" ht="21" x14ac:dyDescent="0.4">
      <c r="B149" s="662"/>
      <c r="C149" s="370">
        <v>2</v>
      </c>
      <c r="D149" s="370" t="str">
        <f>IFERROR('Расчет фасадов'!Y293,0)</f>
        <v>Фасад, Рамочный узкий профиль</v>
      </c>
      <c r="E149" s="370"/>
      <c r="F149" s="370">
        <f>IFERROR('Расчет фасадов'!Z293,0)</f>
        <v>0</v>
      </c>
      <c r="G149" s="370" t="str">
        <f>IFERROR('Расчет фасадов'!AC293,0)</f>
        <v>0мм-0шт</v>
      </c>
      <c r="H149" s="370">
        <f>IFERROR('Расчет фасадов'!AD293,0)</f>
        <v>0</v>
      </c>
      <c r="I149" s="370">
        <f>IFERROR('Расчет фасадов'!AB293,0)</f>
        <v>0</v>
      </c>
      <c r="J149" s="370">
        <f>IFERROR('Расчет фасадов'!AA293,0)</f>
        <v>0</v>
      </c>
      <c r="K149" s="370" t="str">
        <f>IFERROR('Расчет фасадов'!AE293,0)</f>
        <v>Полуфабрикаты производимые в процессе</v>
      </c>
    </row>
    <row r="150" spans="1:46" ht="21" x14ac:dyDescent="0.4">
      <c r="C150" s="370">
        <v>3</v>
      </c>
      <c r="D150" s="370" t="str">
        <f>IFERROR('Расчет фасадов'!Y294,0)</f>
        <v>Фасад, Рамочный узкий профиль</v>
      </c>
      <c r="E150" s="370"/>
      <c r="F150" s="370">
        <f>IFERROR('Расчет фасадов'!Z294,0)</f>
        <v>0</v>
      </c>
      <c r="G150" s="370" t="str">
        <f>IFERROR('Расчет фасадов'!AC294,0)</f>
        <v>0мм-0шт</v>
      </c>
      <c r="H150" s="370">
        <f>IFERROR('Расчет фасадов'!AD294,0)</f>
        <v>0</v>
      </c>
      <c r="I150" s="370">
        <f>IFERROR('Расчет фасадов'!AB294,0)</f>
        <v>0</v>
      </c>
      <c r="J150" s="370">
        <f>IFERROR('Расчет фасадов'!AA294,0)</f>
        <v>0</v>
      </c>
      <c r="K150" s="370" t="str">
        <f>IFERROR('Расчет фасадов'!AE294,0)</f>
        <v>Полуфабрикаты производимые в процессе</v>
      </c>
    </row>
    <row r="151" spans="1:46" ht="21" x14ac:dyDescent="0.4">
      <c r="C151" s="370">
        <v>4</v>
      </c>
      <c r="D151" s="370" t="str">
        <f>IFERROR('Расчет фасадов'!Y295,0)</f>
        <v>Фасад, Рамочный узкий профиль</v>
      </c>
      <c r="E151" s="370"/>
      <c r="F151" s="370">
        <f>IFERROR('Расчет фасадов'!Z295,0)</f>
        <v>0</v>
      </c>
      <c r="G151" s="370" t="str">
        <f>IFERROR('Расчет фасадов'!AC295,0)</f>
        <v>0мм-0шт</v>
      </c>
      <c r="H151" s="370">
        <f>IFERROR('Расчет фасадов'!AD295,0)</f>
        <v>0</v>
      </c>
      <c r="I151" s="370">
        <f>IFERROR('Расчет фасадов'!AB295,0)</f>
        <v>0</v>
      </c>
      <c r="J151" s="370">
        <f>IFERROR('Расчет фасадов'!AA295,0)</f>
        <v>0</v>
      </c>
      <c r="K151" s="370" t="str">
        <f>IFERROR('Расчет фасадов'!AE295,0)</f>
        <v>Полуфабрикаты производимые в процессе</v>
      </c>
    </row>
    <row r="152" spans="1:46" ht="21" x14ac:dyDescent="0.4">
      <c r="C152" s="370">
        <v>5</v>
      </c>
      <c r="D152" s="370">
        <f>IFERROR('Расчет фасадов'!Y296,0)</f>
        <v>0</v>
      </c>
      <c r="E152" s="370"/>
      <c r="F152" s="370" t="str">
        <f>IFERROR('Расчет фасадов'!Z296,0)</f>
        <v>.</v>
      </c>
      <c r="G152" s="370">
        <f>IFERROR('Расчет фасадов'!AC296,0)</f>
        <v>0</v>
      </c>
      <c r="H152" s="370">
        <f>IFERROR('Расчет фасадов'!AD296,0)</f>
        <v>0</v>
      </c>
      <c r="I152" s="370" t="str">
        <f>IFERROR('Расчет фасадов'!AB296,0)</f>
        <v>В -6, Ш -6</v>
      </c>
      <c r="J152" s="370">
        <f>IFERROR('Расчет фасадов'!AA296,0)</f>
        <v>0</v>
      </c>
      <c r="K152" s="370" t="str">
        <f>IFERROR('Расчет фасадов'!AE296,0)</f>
        <v>Вставки</v>
      </c>
    </row>
    <row r="153" spans="1:46" ht="21" x14ac:dyDescent="0.4">
      <c r="C153" s="370">
        <v>6</v>
      </c>
      <c r="D153" s="370" t="str">
        <f>IFERROR('Расчет фасадов'!Y297,0)</f>
        <v>Воздушно-пузырьковая пленка 3-10-115 (1,2*100)</v>
      </c>
      <c r="E153" s="370"/>
      <c r="F153" s="370" t="str">
        <f>IFERROR('Расчет фасадов'!Z297,0)</f>
        <v>3-10-115</v>
      </c>
      <c r="G153" s="370">
        <f>IFERROR('Расчет фасадов'!AC297,0)</f>
        <v>0</v>
      </c>
      <c r="H153" s="370">
        <f>IFERROR('Расчет фасадов'!AD297,0)</f>
        <v>0</v>
      </c>
      <c r="I153" s="370">
        <f>IFERROR('Расчет фасадов'!AB297,0)</f>
        <v>0</v>
      </c>
      <c r="J153" s="370">
        <f>IFERROR('Расчет фасадов'!AA297,0)</f>
        <v>0</v>
      </c>
      <c r="K153" s="370" t="str">
        <f>IFERROR('Расчет фасадов'!AE297,0)</f>
        <v>Полуфабрикаты производимые в процессе</v>
      </c>
    </row>
    <row r="154" spans="1:46" ht="21" x14ac:dyDescent="0.4">
      <c r="C154" s="370">
        <v>7</v>
      </c>
      <c r="D154" s="370" t="str">
        <f>IFERROR('Расчет фасадов'!Y298,0)</f>
        <v>Новофлекс П 40-50 (L3100)</v>
      </c>
      <c r="E154" s="370"/>
      <c r="F154" s="370" t="str">
        <f>IFERROR('Расчет фасадов'!Z298,0)</f>
        <v>П 40-50</v>
      </c>
      <c r="G154" s="370">
        <f>IFERROR('Расчет фасадов'!AC298,0)</f>
        <v>0</v>
      </c>
      <c r="H154" s="370">
        <f>IFERROR('Расчет фасадов'!AD298,0)</f>
        <v>0</v>
      </c>
      <c r="I154" s="370">
        <f>IFERROR('Расчет фасадов'!AB298,0)</f>
        <v>0</v>
      </c>
      <c r="J154" s="370">
        <f>IFERROR('Расчет фасадов'!AA298,0)</f>
        <v>0</v>
      </c>
      <c r="K154" s="370" t="str">
        <f>IFERROR('Расчет фасадов'!AE298,0)</f>
        <v>Полуфабрикаты производимые в процессе</v>
      </c>
    </row>
    <row r="155" spans="1:46" ht="21" x14ac:dyDescent="0.4">
      <c r="C155" s="370">
        <v>8</v>
      </c>
      <c r="D155" s="370" t="str">
        <f>IFERROR('Расчет фасадов'!Y299,0)</f>
        <v>Стрейч плёнка 500*300 (087.0800.50) первичная</v>
      </c>
      <c r="E155" s="370"/>
      <c r="F155" s="370" t="str">
        <f>IFERROR('Расчет фасадов'!Z299,0)</f>
        <v>087.0800.50</v>
      </c>
      <c r="G155" s="370">
        <f>IFERROR('Расчет фасадов'!AC299,0)</f>
        <v>0</v>
      </c>
      <c r="H155" s="370">
        <f>IFERROR('Расчет фасадов'!AD299,0)</f>
        <v>0</v>
      </c>
      <c r="I155" s="370">
        <f>IFERROR('Расчет фасадов'!AB299,0)</f>
        <v>0</v>
      </c>
      <c r="J155" s="370">
        <f>IFERROR('Расчет фасадов'!AA299,0)</f>
        <v>0</v>
      </c>
      <c r="K155" s="370" t="str">
        <f>IFERROR('Расчет фасадов'!AE299,0)</f>
        <v>Полуфабрикаты производимые в процессе</v>
      </c>
    </row>
    <row r="156" spans="1:46" ht="21" x14ac:dyDescent="0.4">
      <c r="C156" s="370">
        <v>9</v>
      </c>
      <c r="D156" s="370" t="str">
        <f>IFERROR('Расчет фасадов'!Y300,0)</f>
        <v>Скотч АРИСТО 2021 06.21</v>
      </c>
      <c r="E156" s="370"/>
      <c r="F156" s="370" t="str">
        <f>IFERROR('Расчет фасадов'!Z300,0)</f>
        <v>ARR-0335</v>
      </c>
      <c r="G156" s="370">
        <f>IFERROR('Расчет фасадов'!AC300,0)</f>
        <v>0</v>
      </c>
      <c r="H156" s="370">
        <f>IFERROR('Расчет фасадов'!AD300,0)</f>
        <v>0</v>
      </c>
      <c r="I156" s="370">
        <f>IFERROR('Расчет фасадов'!AB300,0)</f>
        <v>0</v>
      </c>
      <c r="J156" s="370">
        <f>IFERROR('Расчет фасадов'!AA300,0)</f>
        <v>0</v>
      </c>
      <c r="K156" s="370" t="str">
        <f>IFERROR('Расчет фасадов'!AE300,0)</f>
        <v>Полуфабрикаты производимые в процессе</v>
      </c>
    </row>
    <row r="157" spans="1:46" ht="21" x14ac:dyDescent="0.4">
      <c r="C157" s="370">
        <v>10</v>
      </c>
      <c r="D157" s="370" t="str">
        <f>IFERROR('Расчет фасадов'!Y301,0)</f>
        <v>Клейкая лента прозрачная 72мм*45мм*50мкм</v>
      </c>
      <c r="E157" s="370"/>
      <c r="F157" s="370" t="str">
        <f>IFERROR('Расчет фасадов'!Z301,0)</f>
        <v>0800.50</v>
      </c>
      <c r="G157" s="370">
        <f>IFERROR('Расчет фасадов'!AC301,0)</f>
        <v>0</v>
      </c>
      <c r="H157" s="370">
        <f>IFERROR('Расчет фасадов'!AD301,0)</f>
        <v>0</v>
      </c>
      <c r="I157" s="370">
        <f>IFERROR('Расчет фасадов'!AB301,0)</f>
        <v>0</v>
      </c>
      <c r="J157" s="370">
        <f>IFERROR('Расчет фасадов'!AA301,0)</f>
        <v>0</v>
      </c>
      <c r="K157" s="370" t="str">
        <f>IFERROR('Расчет фасадов'!AE301,0)</f>
        <v>Полуфабрикаты производимые в процессе</v>
      </c>
    </row>
    <row r="158" spans="1:46" ht="21" x14ac:dyDescent="0.4">
      <c r="C158" s="370">
        <v>11</v>
      </c>
      <c r="D158" s="370" t="str">
        <f>IFERROR('Расчет фасадов'!Y302,0)</f>
        <v>Клейкая ленка "ОСТОРОЖНО! СТЕКЛО"</v>
      </c>
      <c r="E158" s="370"/>
      <c r="F158" s="370" t="str">
        <f>IFERROR('Расчет фасадов'!Z302,0)</f>
        <v>43скл</v>
      </c>
      <c r="G158" s="370">
        <f>IFERROR('Расчет фасадов'!AC302,0)</f>
        <v>0</v>
      </c>
      <c r="H158" s="370">
        <f>IFERROR('Расчет фасадов'!AD302,0)</f>
        <v>0</v>
      </c>
      <c r="I158" s="370">
        <f>IFERROR('Расчет фасадов'!AB302,0)</f>
        <v>0</v>
      </c>
      <c r="J158" s="370">
        <f>IFERROR('Расчет фасадов'!AA302,0)</f>
        <v>1</v>
      </c>
      <c r="K158" s="370" t="str">
        <f>IFERROR('Расчет фасадов'!AE302,0)</f>
        <v>Полуфабрикаты производимые в процессе</v>
      </c>
    </row>
    <row r="159" spans="1:46" ht="21" x14ac:dyDescent="0.4">
      <c r="C159" s="370">
        <v>12</v>
      </c>
      <c r="D159" s="370" t="str">
        <f>IFERROR('Расчет фасадов'!Y303,0)</f>
        <v>Пленка-мешок полиэтиленовый 250*700*0,1</v>
      </c>
      <c r="E159" s="370"/>
      <c r="F159" s="370" t="str">
        <f>IFERROR('Расчет фасадов'!Z303,0)</f>
        <v>250*700*0,1</v>
      </c>
      <c r="G159" s="370">
        <f>IFERROR('Расчет фасадов'!AC303,0)</f>
        <v>0</v>
      </c>
      <c r="H159" s="370">
        <f>IFERROR('Расчет фасадов'!AD303,0)</f>
        <v>1</v>
      </c>
      <c r="I159" s="370">
        <f>IFERROR('Расчет фасадов'!AB303,0)</f>
        <v>0</v>
      </c>
      <c r="J159" s="370">
        <f>IFERROR('Расчет фасадов'!AA303,0)</f>
        <v>1</v>
      </c>
      <c r="K159" s="370" t="str">
        <f>IFERROR('Расчет фасадов'!AE303,0)</f>
        <v>Полуфабрикаты производимые в процессе</v>
      </c>
    </row>
    <row r="160" spans="1:46" ht="21" x14ac:dyDescent="0.4">
      <c r="C160" s="370">
        <v>13</v>
      </c>
      <c r="D160" s="370">
        <f>IFERROR('Расчет фасадов'!Y304,0)</f>
        <v>0</v>
      </c>
      <c r="E160" s="370"/>
      <c r="F160" s="370">
        <f>IFERROR('Расчет фасадов'!Z304,0)</f>
        <v>0</v>
      </c>
      <c r="G160" s="370">
        <f>IFERROR('Расчет фасадов'!AC304,0)</f>
        <v>0</v>
      </c>
      <c r="H160" s="370">
        <f>IFERROR('Расчет фасадов'!AD304,0)</f>
        <v>0</v>
      </c>
      <c r="I160" s="370">
        <f>IFERROR('Расчет фасадов'!AB304,0)</f>
        <v>0</v>
      </c>
      <c r="J160" s="370">
        <f>IFERROR('Расчет фасадов'!AA304,0)</f>
        <v>0</v>
      </c>
      <c r="K160" s="370" t="str">
        <f>IFERROR('Расчет фасадов'!AE304,0)</f>
        <v>Фурнитура</v>
      </c>
    </row>
    <row r="161" spans="1:46" ht="21" x14ac:dyDescent="0.4">
      <c r="C161" s="370">
        <v>14</v>
      </c>
      <c r="D161" s="370">
        <f>IFERROR('Расчет фасадов'!Y305,0)</f>
        <v>0</v>
      </c>
      <c r="E161" s="370"/>
      <c r="F161" s="370">
        <f>IFERROR('Расчет фасадов'!Z305,0)</f>
        <v>0</v>
      </c>
      <c r="G161" s="370">
        <f>IFERROR('Расчет фасадов'!AC305,0)</f>
        <v>0</v>
      </c>
      <c r="H161" s="370">
        <f>IFERROR('Расчет фасадов'!AD305,0)</f>
        <v>0</v>
      </c>
      <c r="I161" s="370">
        <f>IFERROR('Расчет фасадов'!AB305,0)</f>
        <v>0</v>
      </c>
      <c r="J161" s="370">
        <f>IFERROR('Расчет фасадов'!AA305,0)</f>
        <v>0</v>
      </c>
      <c r="K161" s="370" t="str">
        <f>IFERROR('Расчет фасадов'!AE305,0)</f>
        <v>Полуфабрикаты производимые в процессе</v>
      </c>
    </row>
    <row r="162" spans="1:46" ht="21.6" thickBot="1" x14ac:dyDescent="0.45">
      <c r="A162" s="245"/>
      <c r="B162" s="245"/>
      <c r="C162" s="373">
        <v>15</v>
      </c>
      <c r="D162" s="373">
        <f>IFERROR('Расчет фасадов'!Y306,0)</f>
        <v>0</v>
      </c>
      <c r="E162" s="373"/>
      <c r="F162" s="373">
        <f>IFERROR('Расчет фасадов'!Z306,0)</f>
        <v>0</v>
      </c>
      <c r="G162" s="373">
        <f>IFERROR('Расчет фасадов'!AC306,0)</f>
        <v>0</v>
      </c>
      <c r="H162" s="373">
        <f>IFERROR('Расчет фасадов'!AD306,0)</f>
        <v>0</v>
      </c>
      <c r="I162" s="373">
        <f>IFERROR('Расчет фасадов'!AB306,0)</f>
        <v>0</v>
      </c>
      <c r="J162" s="373">
        <f>IFERROR('Расчет фасадов'!AA306,0)</f>
        <v>0</v>
      </c>
      <c r="K162" s="373" t="str">
        <f>IFERROR('Расчет фасадов'!AE306,0)</f>
        <v>Фурнитура</v>
      </c>
      <c r="L162" s="245"/>
      <c r="M162" s="245"/>
      <c r="N162" s="245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F162" s="245"/>
      <c r="AG162" s="245"/>
      <c r="AH162" s="245"/>
      <c r="AI162" s="245"/>
      <c r="AJ162" s="245"/>
      <c r="AK162" s="245"/>
      <c r="AL162" s="245"/>
      <c r="AM162" s="245"/>
      <c r="AN162" s="245"/>
      <c r="AO162" s="245"/>
      <c r="AP162" s="245"/>
      <c r="AQ162" s="245"/>
      <c r="AR162" s="245"/>
      <c r="AS162" s="245"/>
      <c r="AT162" s="245"/>
    </row>
    <row r="163" spans="1:46" x14ac:dyDescent="0.3">
      <c r="P163" s="133"/>
    </row>
  </sheetData>
  <mergeCells count="10">
    <mergeCell ref="B100:B101"/>
    <mergeCell ref="B116:B117"/>
    <mergeCell ref="B132:B133"/>
    <mergeCell ref="B148:B149"/>
    <mergeCell ref="B4:B5"/>
    <mergeCell ref="B20:B21"/>
    <mergeCell ref="B36:B37"/>
    <mergeCell ref="B52:B53"/>
    <mergeCell ref="B68:B69"/>
    <mergeCell ref="B84:B85"/>
  </mergeCells>
  <pageMargins left="0.7" right="0.7" top="0.75" bottom="0.75" header="0.3" footer="0.3"/>
  <pageSetup paperSize="9" scale="49" orientation="landscape" r:id="rId1"/>
  <rowBreaks count="9" manualBreakCount="9">
    <brk id="18" max="9" man="1"/>
    <brk id="34" max="9" man="1"/>
    <brk id="50" max="9" man="1"/>
    <brk id="66" max="9" man="1"/>
    <brk id="82" max="9" man="1"/>
    <brk id="98" max="9" man="1"/>
    <brk id="114" max="9" man="1"/>
    <brk id="130" max="9" man="1"/>
    <brk id="14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Фасады EDGE</vt:lpstr>
      <vt:lpstr>Фасады EDGE MAX</vt:lpstr>
      <vt:lpstr>AL_полки</vt:lpstr>
      <vt:lpstr>Вешало </vt:lpstr>
      <vt:lpstr>Расчет полки</vt:lpstr>
      <vt:lpstr>Расчет вешало</vt:lpstr>
      <vt:lpstr>Расчет фасадов</vt:lpstr>
      <vt:lpstr>Расчет фасадов MAX</vt:lpstr>
      <vt:lpstr>ERP_фасады EDGE</vt:lpstr>
      <vt:lpstr>ERP_фасады EDGE max</vt:lpstr>
      <vt:lpstr>ERP_полки</vt:lpstr>
      <vt:lpstr>БД</vt:lpstr>
      <vt:lpstr>Конструктив и технологии</vt:lpstr>
      <vt:lpstr>xml</vt:lpstr>
      <vt:lpstr>Ред</vt:lpstr>
      <vt:lpstr>Changelog</vt:lpstr>
      <vt:lpstr>'Фасады EDGE'!вставка</vt:lpstr>
      <vt:lpstr>вставкаопт</vt:lpstr>
      <vt:lpstr>'Фасады EDGE'!высота</vt:lpstr>
      <vt:lpstr>'Фасады EDGE MAX'!высота</vt:lpstr>
      <vt:lpstr>AL_полки!Область_печати</vt:lpstr>
      <vt:lpstr>ERP_полки!Область_печати</vt:lpstr>
      <vt:lpstr>'ERP_фасады EDGE'!Область_печати</vt:lpstr>
      <vt:lpstr>'ERP_фасады EDGE max'!Область_печати</vt:lpstr>
      <vt:lpstr>'Вешало '!Область_печати</vt:lpstr>
      <vt:lpstr>'Расчет полки'!Область_печати</vt:lpstr>
      <vt:lpstr>'Фасады EDGE'!Область_печати</vt:lpstr>
      <vt:lpstr>'Фасады EDGE MAX'!Область_печати</vt:lpstr>
      <vt:lpstr>петли</vt:lpstr>
      <vt:lpstr>стороны</vt:lpstr>
      <vt:lpstr>'Фасады EDGE'!ширина</vt:lpstr>
      <vt:lpstr>'Фасады EDGE MAX'!ширина</vt:lpstr>
    </vt:vector>
  </TitlesOfParts>
  <Manager>LazarevEM@aristo-aps.ru</Manager>
  <Company>ARISTO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goligrovda@aristo-aps.ru</dc:creator>
  <cp:lastModifiedBy>Голигров Денис Александрович</cp:lastModifiedBy>
  <cp:lastPrinted>2023-01-27T12:38:30Z</cp:lastPrinted>
  <dcterms:created xsi:type="dcterms:W3CDTF">2015-09-03T07:21:10Z</dcterms:created>
  <dcterms:modified xsi:type="dcterms:W3CDTF">2023-08-17T13:15:10Z</dcterms:modified>
</cp:coreProperties>
</file>