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0" windowWidth="24000" windowHeight="8865" tabRatio="748" activeTab="0"/>
  </bookViews>
  <sheets>
    <sheet name="Бланк для заказа" sheetId="1" r:id="rId1"/>
    <sheet name="Фасады, декоративные элементы" sheetId="2" r:id="rId2"/>
    <sheet name="Витражи" sheetId="3" state="hidden" r:id="rId3"/>
    <sheet name="Лист1" sheetId="4" state="hidden" r:id="rId4"/>
    <sheet name="Стекла, Витражи" sheetId="5" r:id="rId5"/>
  </sheets>
  <definedNames>
    <definedName name="_xlfn.CEILING.MATH" hidden="1">#NAME?</definedName>
    <definedName name="Excel_BuiltIn_Print_Area_1_1">#REF!</definedName>
    <definedName name="Excel_BuiltIn_Print_Area_2">#REF!</definedName>
    <definedName name="Excel_BuiltIn_Print_Area_2_1">#REF!</definedName>
    <definedName name="Excel_BuiltIn_Print_Area_2_1_1">#REF!</definedName>
    <definedName name="ДугФасНацЛак">'Фасады, декоративные элементы'!#REF!</definedName>
    <definedName name="ДугФасНацПат">'Фасады, декоративные элементы'!#REF!</definedName>
    <definedName name="_xlnm.Print_Area" localSheetId="2">'Витражи'!$C$1:$H$259</definedName>
    <definedName name="_xlnm.Print_Area" localSheetId="1">'Фасады, декоративные элементы'!$B$1:$K$952</definedName>
    <definedName name="ПрФасНацЛак">'Фасады, декоративные элементы'!#REF!</definedName>
    <definedName name="ПрФасНацПат">'Фасады, декоративные элементы'!#REF!</definedName>
  </definedNames>
  <calcPr fullCalcOnLoad="1" refMode="R1C1"/>
</workbook>
</file>

<file path=xl/sharedStrings.xml><?xml version="1.0" encoding="utf-8"?>
<sst xmlns="http://schemas.openxmlformats.org/spreadsheetml/2006/main" count="5402" uniqueCount="2274">
  <si>
    <t>кв.м</t>
  </si>
  <si>
    <t>Модельный ряд "Классика"</t>
  </si>
  <si>
    <t>Наименование фасада</t>
  </si>
  <si>
    <t>Цена за</t>
  </si>
  <si>
    <t>Бук</t>
  </si>
  <si>
    <t>Ясень</t>
  </si>
  <si>
    <t>Под стекло</t>
  </si>
  <si>
    <t>С решеткой</t>
  </si>
  <si>
    <t>Дуговой с филенкой</t>
  </si>
  <si>
    <t>шт</t>
  </si>
  <si>
    <t>Дуговой под стекло</t>
  </si>
  <si>
    <t>Дуговой с филенкой обратный</t>
  </si>
  <si>
    <t>Фигурный №4 с филенкой</t>
  </si>
  <si>
    <t>Фигурный №4 под стекло</t>
  </si>
  <si>
    <t>Комбинированный с филенкой</t>
  </si>
  <si>
    <t>Комбинированный под стекло</t>
  </si>
  <si>
    <t>Комбинированный с решеткой</t>
  </si>
  <si>
    <t>Дуговая ящ. накладка</t>
  </si>
  <si>
    <t>Модельный ряд "Премиум"</t>
  </si>
  <si>
    <t>Клио</t>
  </si>
  <si>
    <t>Виктория</t>
  </si>
  <si>
    <t>Флора</t>
  </si>
  <si>
    <t>Декоративные элементы</t>
  </si>
  <si>
    <t>Колонны и опоры</t>
  </si>
  <si>
    <t>Резьбовые элементы</t>
  </si>
  <si>
    <t>Резьбовой элемент «Герб» (350х300х29)</t>
  </si>
  <si>
    <t>Резьбовой элемент «Ирис» (83х50х8)</t>
  </si>
  <si>
    <t>Консоль «Галатея» (180х78х80)</t>
  </si>
  <si>
    <t>Фризы</t>
  </si>
  <si>
    <t>Фриз фигурный прям. верхний</t>
  </si>
  <si>
    <t>м</t>
  </si>
  <si>
    <t xml:space="preserve">Фриз фигурный дуговой верхний </t>
  </si>
  <si>
    <t>Фриз фигурный дуговой обратный верхний</t>
  </si>
  <si>
    <t>Накладка на фриз верхний фигурный наружный угол</t>
  </si>
  <si>
    <t>Накладка на фриз верхний фигурный прямая</t>
  </si>
  <si>
    <t>Декоративная подфризовая планка</t>
  </si>
  <si>
    <t>Декоративная подфризовая планка дуг.</t>
  </si>
  <si>
    <t>Декоративная подфризовая планка дуг. обр.</t>
  </si>
  <si>
    <t>Фриз фигурный прямой нижний</t>
  </si>
  <si>
    <t>Фриз фигурный дуговой нижний</t>
  </si>
  <si>
    <t>Фриз фигурный дуговой обратный нижний</t>
  </si>
  <si>
    <t>Фриз модерн прямой верхний</t>
  </si>
  <si>
    <t>Фриз модерн дуговой обратный верхний</t>
  </si>
  <si>
    <t>Фриз модерн прямой нижний</t>
  </si>
  <si>
    <t>Фриз модерн дуговой нижний</t>
  </si>
  <si>
    <t>Фриз модерн дуговой обратный нижний</t>
  </si>
  <si>
    <t>Бутылочница(две решетки + рамка)</t>
  </si>
  <si>
    <t>Балюстрады</t>
  </si>
  <si>
    <t>Балюстрада прямая 800мм</t>
  </si>
  <si>
    <t>Балюстрада прямая 1200мм</t>
  </si>
  <si>
    <t>Балюстрада дуговая</t>
  </si>
  <si>
    <t>Балюстрада дуговая обратная</t>
  </si>
  <si>
    <t>Балюстрада арочная</t>
  </si>
  <si>
    <t>Вальмовка шпоном 28мм</t>
  </si>
  <si>
    <t>Вальмовка шпоном 16мм</t>
  </si>
  <si>
    <t>Шаблон для фрезеровки столешницы</t>
  </si>
  <si>
    <t xml:space="preserve">Лакировка </t>
  </si>
  <si>
    <t>Лакировка вытяжки (до 600 мм)</t>
  </si>
  <si>
    <t>Лакировка вытяжки (более 600 мм)</t>
  </si>
  <si>
    <t>Накладка на фриз верхний фигурный внутренний угол</t>
  </si>
  <si>
    <t>С филенкой</t>
  </si>
  <si>
    <t>Ящичная накладка</t>
  </si>
  <si>
    <t>Фигурный №1 с филенкой</t>
  </si>
  <si>
    <t>Фигурный №1 под стекло</t>
  </si>
  <si>
    <t>Фигурный №2 с филенкой</t>
  </si>
  <si>
    <t>Фигурный №2 под стекло</t>
  </si>
  <si>
    <t>Фигурный №3 с филенкой</t>
  </si>
  <si>
    <t>Фигурный №3 под стекло</t>
  </si>
  <si>
    <t>Артикул Бук</t>
  </si>
  <si>
    <t>Двуарочная</t>
  </si>
  <si>
    <t>Прямая</t>
  </si>
  <si>
    <t>Натяжитель для фасадов</t>
  </si>
  <si>
    <t>Установка натяжителя</t>
  </si>
  <si>
    <t>Фриз модерн дуговой верхний</t>
  </si>
  <si>
    <t>Упаковка в стрейч-пленку</t>
  </si>
  <si>
    <t>Упаковка в картон</t>
  </si>
  <si>
    <t>usl-vkl-steklo</t>
  </si>
  <si>
    <t>usl-ust-natazh</t>
  </si>
  <si>
    <t>usl-upak-streich</t>
  </si>
  <si>
    <t>usl-upak-kart</t>
  </si>
  <si>
    <t>Планка к фигурному фасаду №2</t>
  </si>
  <si>
    <t>Планка к фигурному фасаду №3</t>
  </si>
  <si>
    <t>usl-natazh</t>
  </si>
  <si>
    <t>Накладка на фриз нижний фигурный внутр. угол 90</t>
  </si>
  <si>
    <t>Накладка на фриз нижний фигурный внутр. угол 135</t>
  </si>
  <si>
    <t>Накладка на фриз нижний фигурный прямая</t>
  </si>
  <si>
    <t>Накладка на фриз нижний фигурный наружн. угол 90</t>
  </si>
  <si>
    <t>Накладка на фриз нижний фигурный наружн. угол 135</t>
  </si>
  <si>
    <t>Розетка «Лилия» (140х140х20)</t>
  </si>
  <si>
    <t>Накладка универсальная №1</t>
  </si>
  <si>
    <t>Накладка универсальная №2</t>
  </si>
  <si>
    <t>Резб.эл. Магнолия (опоры)</t>
  </si>
  <si>
    <t>Резб.эл. Барокко (опоры)</t>
  </si>
  <si>
    <t>Резб.эл. Папоротник (опоры)</t>
  </si>
  <si>
    <t>Резб.эл. Магнолия (колонны)</t>
  </si>
  <si>
    <t>Резб.эл. Барокко (колонны)</t>
  </si>
  <si>
    <t>Резб.эл. Папоротник (колонны)</t>
  </si>
  <si>
    <t>Наименование</t>
  </si>
  <si>
    <t>Стекло 4мм плоск. прост</t>
  </si>
  <si>
    <t>Стекло 4мм плоск. тон</t>
  </si>
  <si>
    <t>А1</t>
  </si>
  <si>
    <t>А2</t>
  </si>
  <si>
    <t>Классика</t>
  </si>
  <si>
    <t>Фацет DB-18</t>
  </si>
  <si>
    <t>Фацет DB-41</t>
  </si>
  <si>
    <t>Фацет DB-17</t>
  </si>
  <si>
    <t>Арочная</t>
  </si>
  <si>
    <t>usl-lak-vi-do600</t>
  </si>
  <si>
    <t>usl-lak-vi-bol600</t>
  </si>
  <si>
    <t>Вставка для балюстрады</t>
  </si>
  <si>
    <t>usl-obr-cve</t>
  </si>
  <si>
    <t>Фриз Классика прямой верхний</t>
  </si>
  <si>
    <t>Фриз Классика дуговой верхний</t>
  </si>
  <si>
    <t>Фриз Классика дуговой обратный верхний</t>
  </si>
  <si>
    <t>Фриз Афродита прямой верхний</t>
  </si>
  <si>
    <t>Фриз Афродита дуговой верхний</t>
  </si>
  <si>
    <t>Фриз Афродита дуговой обратный верхний</t>
  </si>
  <si>
    <t>Фриз Ирида прямой верхний</t>
  </si>
  <si>
    <t>Фриз Ирида дуговой верхний</t>
  </si>
  <si>
    <t>Фриз Ирида дуговой обратный верхний</t>
  </si>
  <si>
    <t>Фриз Наяда прямой верхний</t>
  </si>
  <si>
    <t>Фриз Наяда дуговой верхний</t>
  </si>
  <si>
    <t>Фриз Наяда дуговой обратный верхний</t>
  </si>
  <si>
    <t>Фриз Ника прямой верхний</t>
  </si>
  <si>
    <t>Фриз Ника дуговой верхний</t>
  </si>
  <si>
    <t>Фриз Ника дуговой обратный верхний</t>
  </si>
  <si>
    <t>Фигурный</t>
  </si>
  <si>
    <t>Модерн</t>
  </si>
  <si>
    <t>Афродита</t>
  </si>
  <si>
    <t>Ирида</t>
  </si>
  <si>
    <t>Наяда</t>
  </si>
  <si>
    <t>Ника</t>
  </si>
  <si>
    <t>Плоское</t>
  </si>
  <si>
    <t>Дуговое</t>
  </si>
  <si>
    <t>Вставка для фиг.фриза</t>
  </si>
  <si>
    <t>Стекло 4мм дуг. прост</t>
  </si>
  <si>
    <t>Стекло 4мм дуг. тон.</t>
  </si>
  <si>
    <t>Стекло 4мм</t>
  </si>
  <si>
    <t>A3 Имитация</t>
  </si>
  <si>
    <t>A3 Кристалл</t>
  </si>
  <si>
    <t>A5 Имитация</t>
  </si>
  <si>
    <t>A5 Кристалл</t>
  </si>
  <si>
    <t>A6 Имитация</t>
  </si>
  <si>
    <t>A6 Кристалл</t>
  </si>
  <si>
    <t>Весна</t>
  </si>
  <si>
    <t>Веточка</t>
  </si>
  <si>
    <t>Звезда</t>
  </si>
  <si>
    <t>Квартет</t>
  </si>
  <si>
    <t>Квартет 2</t>
  </si>
  <si>
    <t>Корона</t>
  </si>
  <si>
    <t>Корона Б</t>
  </si>
  <si>
    <t>Магнолия</t>
  </si>
  <si>
    <t>Мария</t>
  </si>
  <si>
    <t>Овал</t>
  </si>
  <si>
    <t>Фонтан</t>
  </si>
  <si>
    <t>Эдем</t>
  </si>
  <si>
    <t>Эдем 2</t>
  </si>
  <si>
    <t>Базовые цены</t>
  </si>
  <si>
    <r>
      <rPr>
        <b/>
        <sz val="8"/>
        <rFont val="Arial"/>
        <family val="2"/>
      </rPr>
      <t>Плоские витражи:</t>
    </r>
    <r>
      <rPr>
        <sz val="8"/>
        <rFont val="Arial"/>
        <family val="2"/>
      </rPr>
      <t xml:space="preserve"> Базовые цены для витражей высотой до 700мм
Расчет стоимости витража большей высоты: 1) Высота витража разделить на 700 и умножить на базовую цену.</t>
    </r>
  </si>
  <si>
    <t>-</t>
  </si>
  <si>
    <t>А6 Кристалл - фацет DB-41, цена 195р.
А7 Кристалл - фацет DB-17, цена 140р.</t>
  </si>
  <si>
    <r>
      <rPr>
        <b/>
        <sz val="8"/>
        <rFont val="Arial"/>
        <family val="2"/>
      </rPr>
      <t xml:space="preserve">Плоские витражи: </t>
    </r>
    <r>
      <rPr>
        <sz val="8"/>
        <rFont val="Arial"/>
        <family val="2"/>
      </rPr>
      <t>Для позиции "Стекло 4мм" цены указаны за кв.м.
Для остальных: Базовые цены для витражей площадью до 0,186кв.м.
Расчет стоимости витража большей площади: 1) Баз. цена минус цена фацета (если есть), результат разделить на 0,186.
2) Полученное значение умножить на площадь витража, к результату прибавить стоимость фацета (если есть).</t>
    </r>
  </si>
  <si>
    <t>Фацеты используются в следующих плоских витражах:</t>
  </si>
  <si>
    <t>А3 Кристалл - фацет DB-18, цена 120р.
А5 Кристалл - фацет DB-18 (2 шт), цена 120р.</t>
  </si>
  <si>
    <t>Накладка на фриз верхний Классика прямая</t>
  </si>
  <si>
    <t>Накладка на фриз верхний Классика наружн. угол 90</t>
  </si>
  <si>
    <t>Накладка на фриз верхний Классика внутр. угол 90</t>
  </si>
  <si>
    <t>Накладка на фриз верхний Классика наружн. угол 135</t>
  </si>
  <si>
    <t>Накладка на фриз верхний Классика внутр. угол 135</t>
  </si>
  <si>
    <t>Накладка на фриз верхний Афродита прямая</t>
  </si>
  <si>
    <t>Накладка на фриз верхний Афродита наружн. угол 90</t>
  </si>
  <si>
    <t>Накладка на фриз верхний Афродита внутр. угол 90</t>
  </si>
  <si>
    <t>Накладка на фриз верхний Афродита наружн. угол 135</t>
  </si>
  <si>
    <t>Накладка на фриз верхний Афродита внутр. угол 135</t>
  </si>
  <si>
    <t>Накладка на фриз верхний Ирида прямая</t>
  </si>
  <si>
    <t>Накладка на фриз верхний Ирида наружн. угол 90</t>
  </si>
  <si>
    <t>Накладка на фриз верхний Ирида внутр. угол 90</t>
  </si>
  <si>
    <t>Накладка на фриз верхний Ирида наружн. угол 135</t>
  </si>
  <si>
    <t>Накладка на фриз верхний Ирида внутр. угол 135</t>
  </si>
  <si>
    <t>Накладка на фриз верхний Наяда прямая</t>
  </si>
  <si>
    <t>Накладка на фриз верхний Наяда наружн. угол 90</t>
  </si>
  <si>
    <t>Накладка на фриз верхний Наяда внутр. угол 90</t>
  </si>
  <si>
    <t>Накладка на фриз верхний Наяда наружн. угол 135</t>
  </si>
  <si>
    <t>Накладка на фриз верхний Наяда внутр. угол 135</t>
  </si>
  <si>
    <t>Накладка на фриз верхний Ника прямая</t>
  </si>
  <si>
    <t>Накладка на фриз верхний Ника наружн. угол 90</t>
  </si>
  <si>
    <t>Накладка на фриз верхний Ника внутр. угол 90</t>
  </si>
  <si>
    <t>Накладка на фриз верхний Ника наружн. угол 135</t>
  </si>
  <si>
    <t>Накладка на фриз верхний Ника внутр. угол 135</t>
  </si>
  <si>
    <t>A7 Имитация</t>
  </si>
  <si>
    <t>A7 Кристалл</t>
  </si>
  <si>
    <t>Накладка на бутылочницу Папоротник</t>
  </si>
  <si>
    <t>Накладка на бутылочницу Барокко</t>
  </si>
  <si>
    <r>
      <rPr>
        <b/>
        <sz val="8"/>
        <rFont val="Arial"/>
        <family val="2"/>
      </rPr>
      <t>Дуговые витражи:</t>
    </r>
    <r>
      <rPr>
        <sz val="8"/>
        <rFont val="Arial"/>
        <family val="2"/>
      </rPr>
      <t xml:space="preserve"> Базовые цены для витражей высотой до 588мм
При увеличении выоты на каждые 100мм цена увеличивается на 5%
Витражи, содержащие фацеты, пересчитываются без учета стоимости фацета. Т.е. перед расчетом стоимости витража нестандартной высоты от базовой цены отнимается стоимость дугового фацета. И после пересчета прибавляется обратно.
Дуговые фацеты содержат витражи: Квартет, Фонтан, Овал, Корона стоимость 210р; Квартет 2 стоимость 410р; Звезда стоимость 450р</t>
    </r>
  </si>
  <si>
    <r>
      <rPr>
        <b/>
        <sz val="8"/>
        <rFont val="Arial"/>
        <family val="2"/>
      </rPr>
      <t>Дуговые витражи:</t>
    </r>
    <r>
      <rPr>
        <sz val="8"/>
        <rFont val="Arial"/>
        <family val="2"/>
      </rPr>
      <t xml:space="preserve"> Базовые цены для витражей высотой до 588мм
При увеличении выоты на каждые 100мм цена увеличивается на 15%
Витражи, содержащие фацеты, пересчитываются без учета стоимости фацета. Т.е. перед расчетом стоимости витража нестандартной высоты от базовой цены отнимается стоимость дугового фацета. И после пересчета прибавляется обратно.
Дуговые фацеты содержат витражи: А3 Кристалл, А6 Кристалл, А7 Кристалл стоимость 210р; А5 стоимость 410р.</t>
    </r>
  </si>
  <si>
    <t>Лаура</t>
  </si>
  <si>
    <t>Лакировка вытяжки (встроенная)</t>
  </si>
  <si>
    <t>usl-lak-vi-vstr</t>
  </si>
  <si>
    <t>usl-dvoin-tn</t>
  </si>
  <si>
    <t>Планки, накладки</t>
  </si>
  <si>
    <t>Простой</t>
  </si>
  <si>
    <t>Подиум Классика прямой 100мм</t>
  </si>
  <si>
    <t>Подиум Классика дуговой 100мм</t>
  </si>
  <si>
    <t>Подиум Классика дуговой обратный 100мм</t>
  </si>
  <si>
    <t>Подиум Классика прямой 120мм</t>
  </si>
  <si>
    <t>Подиум Классика дуговой 120мм</t>
  </si>
  <si>
    <t>Подиум Классика дуговой обратный 120мм</t>
  </si>
  <si>
    <t>Подиум Афродита прямой 100мм</t>
  </si>
  <si>
    <t>Подиум Афродита дуговой 100мм</t>
  </si>
  <si>
    <t>Подиум Афродита дуговой обратный 100мм</t>
  </si>
  <si>
    <t>Подиум Афродита прямой 120мм</t>
  </si>
  <si>
    <t>Подиум Афродита дуговой 120мм</t>
  </si>
  <si>
    <t>Подиум Афродита дуговой обратный 120мм</t>
  </si>
  <si>
    <t>Накладка на подиум Премиум 100мм прямая</t>
  </si>
  <si>
    <t>Накладка на подиум Премиум 120мм прямая</t>
  </si>
  <si>
    <t>Накладки для подиума Премиум (Классика, Афродита, Ирида, Наяда, Ника)</t>
  </si>
  <si>
    <t>Подиум Ирида прямой 100мм</t>
  </si>
  <si>
    <t>Подиум Ирида дуговой 100мм</t>
  </si>
  <si>
    <t>Подиум Ирида дуговой обратный 100мм</t>
  </si>
  <si>
    <t>Подиум Ирида прямой 120мм</t>
  </si>
  <si>
    <t>Подиум Ирида дуговой 120мм</t>
  </si>
  <si>
    <t>Подиум Ирида дуговой обратный 120мм</t>
  </si>
  <si>
    <t>Подиум Наяда прямой 100мм</t>
  </si>
  <si>
    <t>Подиум Наяда дуговой 100мм</t>
  </si>
  <si>
    <t>Подиум Наяда дуговой обратный 100мм</t>
  </si>
  <si>
    <t>Подиум Наяда прямой 120мм</t>
  </si>
  <si>
    <t>Подиум Наяда дуговой 120мм</t>
  </si>
  <si>
    <t>Подиум Наяда дуговой обратный 120мм</t>
  </si>
  <si>
    <t>Подиум Ника прямой 100мм</t>
  </si>
  <si>
    <t>Подиум Ника дуговой 100мм</t>
  </si>
  <si>
    <t>Подиум Ника дуговой обратный 100мм</t>
  </si>
  <si>
    <t>Подиум Ника прямой 120мм</t>
  </si>
  <si>
    <t>Подиум Ника дуговой 120мм</t>
  </si>
  <si>
    <t>Подиум Ника дуговой обратный 120мм</t>
  </si>
  <si>
    <t>Накладка на подиум Премиум 120мм внутр. уг. 90</t>
  </si>
  <si>
    <t>Накладка на подиум Премиум 120мм наружн. уг. 90</t>
  </si>
  <si>
    <t>Накладка на подиум Премиум 120мм наружн. уг. 135</t>
  </si>
  <si>
    <t>Накладка на подиум Премиум 120мм внутр. уг. 135</t>
  </si>
  <si>
    <t>Накладка на подиум Премиум 100мм внутр. уг. 135</t>
  </si>
  <si>
    <t>Накладка на подиум Премиум 100мм наружн. уг. 135</t>
  </si>
  <si>
    <t>Накладка на подиум Премиум 100мм внутр. уг. 90</t>
  </si>
  <si>
    <t>Накладка на подиум Премиум 100мм наружн. уг. 90</t>
  </si>
  <si>
    <t>Подиум простой прямой 100мм</t>
  </si>
  <si>
    <t>Подиум простой дуговой 100мм</t>
  </si>
  <si>
    <t>Подиум простой дуговой обратный 100мм</t>
  </si>
  <si>
    <t>Подиум простой прямой 120мм</t>
  </si>
  <si>
    <t>Подиум простой дуговой 120мм</t>
  </si>
  <si>
    <t>Подиум простой дуговой обратный 120мм</t>
  </si>
  <si>
    <t>Вальмовка шпоном 19мм</t>
  </si>
  <si>
    <t>Вальмовка шпоном 10мм</t>
  </si>
  <si>
    <t>Фрезеровка калевки</t>
  </si>
  <si>
    <t>МДФ под шпоном</t>
  </si>
  <si>
    <t>Артикул</t>
  </si>
  <si>
    <t>vit-st4-plosk</t>
  </si>
  <si>
    <t>vit-st4-dug</t>
  </si>
  <si>
    <t>vit-a1-plosk</t>
  </si>
  <si>
    <t>vit-a1-dug</t>
  </si>
  <si>
    <t>vit-a2-plosk</t>
  </si>
  <si>
    <t>vit-a2-dug</t>
  </si>
  <si>
    <t>vit-a3-plosk-im</t>
  </si>
  <si>
    <t>vit-a3-plosk-kr</t>
  </si>
  <si>
    <t>vit-a3-dug</t>
  </si>
  <si>
    <t>vit-a3-dug-kr</t>
  </si>
  <si>
    <t>vit-a5-plosk-im</t>
  </si>
  <si>
    <t>vit-a5-plosk-kr</t>
  </si>
  <si>
    <t>vit-a5-dug</t>
  </si>
  <si>
    <t>vit-a5-dug-kr</t>
  </si>
  <si>
    <t>vit-a6-plosk-im</t>
  </si>
  <si>
    <t>vit-a6-plosk-kr</t>
  </si>
  <si>
    <t>vit-a6-dug</t>
  </si>
  <si>
    <t>vit-a6-dug-kr</t>
  </si>
  <si>
    <t>vit-a7-plosk-kr</t>
  </si>
  <si>
    <t>vit-a7-dug</t>
  </si>
  <si>
    <t>vit-a7-dug-kr</t>
  </si>
  <si>
    <t>vit-vesna-plosk</t>
  </si>
  <si>
    <t>vit-vesna-dug</t>
  </si>
  <si>
    <t>vit-vetoch-plosk</t>
  </si>
  <si>
    <t>vit-vetoch-dug</t>
  </si>
  <si>
    <t>vit-zve-plosk</t>
  </si>
  <si>
    <t>vit-zve-dug</t>
  </si>
  <si>
    <t>vit-kva-plosk</t>
  </si>
  <si>
    <t>vit-kva-dug</t>
  </si>
  <si>
    <t>vit-kva2-plosk</t>
  </si>
  <si>
    <t>vit-kva2-dug</t>
  </si>
  <si>
    <t>vit-kor-plosk</t>
  </si>
  <si>
    <t>vit-kor-dug</t>
  </si>
  <si>
    <t>vit-korb-plosk</t>
  </si>
  <si>
    <t>vit-korb-dug</t>
  </si>
  <si>
    <t>vit-mag-plosk</t>
  </si>
  <si>
    <t>vit-mag-dug</t>
  </si>
  <si>
    <t>vit-mar-plosk</t>
  </si>
  <si>
    <t>vit-mar-dug</t>
  </si>
  <si>
    <t>vit-oval-plosk</t>
  </si>
  <si>
    <t>vit-oval-dug</t>
  </si>
  <si>
    <t>vit-fon-plosk</t>
  </si>
  <si>
    <t>vit-fon-dug</t>
  </si>
  <si>
    <t>vit-edem-plosk</t>
  </si>
  <si>
    <t>vit-edem-dug</t>
  </si>
  <si>
    <t>vit-edem2-plosk</t>
  </si>
  <si>
    <t>vit-edem2-dug</t>
  </si>
  <si>
    <t>Подиумы (цокольные накладки)</t>
  </si>
  <si>
    <t>Планка без калевки 30мм</t>
  </si>
  <si>
    <t>Планка без калевки 60мм</t>
  </si>
  <si>
    <t>Планка без калевки 80мм</t>
  </si>
  <si>
    <t>Планка без калевки 100мм</t>
  </si>
  <si>
    <t>Планка без калевки 116мм</t>
  </si>
  <si>
    <t>Планка без калевки 146мм</t>
  </si>
  <si>
    <t>Планка без калевки 177мм</t>
  </si>
  <si>
    <t>Планка декор. 1 (120мм)</t>
  </si>
  <si>
    <t>Планка декор. 3 (120мм)</t>
  </si>
  <si>
    <t>Планка декор. 1 (250мм)</t>
  </si>
  <si>
    <t>Планка декор. 3 (250мм)</t>
  </si>
  <si>
    <t>МДФ+шпон 28 мм Прямая</t>
  </si>
  <si>
    <t>МДФ+шпон 28 мм Закругленная</t>
  </si>
  <si>
    <t>МДФ+шпон 28 мм Радиусная</t>
  </si>
  <si>
    <t>МДФ+шпон 28 мм Лекальная</t>
  </si>
  <si>
    <t>МДФ+шпон 19 мм Прямая</t>
  </si>
  <si>
    <t>МДФ+шпон 19 мм Закругленная</t>
  </si>
  <si>
    <t>МДФ+шпон 19 мм Радиусная</t>
  </si>
  <si>
    <t>МДФ+шпон 19 мм Лекальная</t>
  </si>
  <si>
    <t>МДФ+шпон 16 мм Прямая</t>
  </si>
  <si>
    <t>МДФ+шпон 16 мм Закругленная</t>
  </si>
  <si>
    <t>МДФ+шпон 16 мм Радиусная</t>
  </si>
  <si>
    <t>МДФ+шпон 16 мм Лекальная</t>
  </si>
  <si>
    <t>МДФ+шпон 10 мм Прямая</t>
  </si>
  <si>
    <t>МДФ+шпон 10 мм Закругленная</t>
  </si>
  <si>
    <t>МДФ+шпон 10 мм Радиусная</t>
  </si>
  <si>
    <t>МДФ+шпон 10 мм Лекальная</t>
  </si>
  <si>
    <t>МДФ+шпон 6 мм Прямая</t>
  </si>
  <si>
    <t>МДФ+шпон 6 мм Закругленная</t>
  </si>
  <si>
    <t>МДФ+шпон 6 мм Радиусная</t>
  </si>
  <si>
    <t>МДФ+шпон 6 мм Лекальная</t>
  </si>
  <si>
    <t>Для планок №1 и №3 цены указаны для ширины 600мм. Для ширин: 700, 800, 900, 1400 мм цена увеличивается на 3, 5, 7, 15% соответственно</t>
  </si>
  <si>
    <t>Вклейка дугового стекла</t>
  </si>
  <si>
    <t>usl-vkl-steklodug</t>
  </si>
  <si>
    <t>usl-lak-kvad</t>
  </si>
  <si>
    <t>Лакировка по квадратуре</t>
  </si>
  <si>
    <t>usl-vkl-stekloshnur</t>
  </si>
  <si>
    <t>usl-shabl-frez-sto</t>
  </si>
  <si>
    <t>Упаковка пенопласт</t>
  </si>
  <si>
    <t>usl-upak-penoplast</t>
  </si>
  <si>
    <t>Вклейка прямого стекла</t>
  </si>
  <si>
    <t>Рейка переплёта вертикальная</t>
  </si>
  <si>
    <t>Рейка переплёта горизонтальная</t>
  </si>
  <si>
    <t>usl-vkl-perepl</t>
  </si>
  <si>
    <t>Вклейка переплёта</t>
  </si>
  <si>
    <t>Дек. планка Диона 2.4м</t>
  </si>
  <si>
    <t>Дек. планка Ника 2.4м</t>
  </si>
  <si>
    <t>Дек. планка Наяда 2.4м</t>
  </si>
  <si>
    <t>Дек. планка Ирида 2.4м</t>
  </si>
  <si>
    <t>Дек. планка Афродита 2.4м</t>
  </si>
  <si>
    <t>Дек. планка Классика 2.4м</t>
  </si>
  <si>
    <t>Диона</t>
  </si>
  <si>
    <t>Фриз Диона прямой верхний</t>
  </si>
  <si>
    <t>Фриз Диона дуговой верхний</t>
  </si>
  <si>
    <t>Фриз Диона дуговой обратный верхний</t>
  </si>
  <si>
    <t>Накладка на фриз верхний Диона прямая</t>
  </si>
  <si>
    <t>Накладка на фриз верхний Диона наружн. угол 90</t>
  </si>
  <si>
    <t>Накладка на фриз верхний Диона внутр. угол 90</t>
  </si>
  <si>
    <t>Накладка на фриз верхний Диона наружн. угол 135</t>
  </si>
  <si>
    <t>Накладка на фриз верхний Диона внутр. угол 135</t>
  </si>
  <si>
    <t>Подиум Диона прямой 100мм</t>
  </si>
  <si>
    <t>Подиум Диона дуговой 100мм</t>
  </si>
  <si>
    <t>Подиум Диона дуговой обратный 100мм</t>
  </si>
  <si>
    <t>Подиум Диона прямой 120мм</t>
  </si>
  <si>
    <t>Подиум Диона дуговой 120мм</t>
  </si>
  <si>
    <t>Подиум Диона дуговой обратный 120мм</t>
  </si>
  <si>
    <t>Подфризовая планка Премиум</t>
  </si>
  <si>
    <t>Капри</t>
  </si>
  <si>
    <t>Этюд-К</t>
  </si>
  <si>
    <t>Этюд-П</t>
  </si>
  <si>
    <t>Этюд-Ц</t>
  </si>
  <si>
    <t>Восход-К</t>
  </si>
  <si>
    <t>Восход-П</t>
  </si>
  <si>
    <t>Лилия-К</t>
  </si>
  <si>
    <t>Лилия-П</t>
  </si>
  <si>
    <t>Лилия-Ц</t>
  </si>
  <si>
    <t>Квадро-К</t>
  </si>
  <si>
    <t>Квадро-П</t>
  </si>
  <si>
    <t>Квадро-Ц</t>
  </si>
  <si>
    <t>Клемантин-К</t>
  </si>
  <si>
    <t>Клемантин-П</t>
  </si>
  <si>
    <t>Клемантин-Ц</t>
  </si>
  <si>
    <t>Венеция-К</t>
  </si>
  <si>
    <t>Венеция-П</t>
  </si>
  <si>
    <t>Венеция-Ц</t>
  </si>
  <si>
    <t>vit-reshk-plosk</t>
  </si>
  <si>
    <t>vit-reshk-dug</t>
  </si>
  <si>
    <t>vit-etudk-plosk</t>
  </si>
  <si>
    <t>vit-etudk-dug</t>
  </si>
  <si>
    <t>vit-etudp-plosk</t>
  </si>
  <si>
    <t>vit-etudc-plosk</t>
  </si>
  <si>
    <t>vit-voshodk-plosk</t>
  </si>
  <si>
    <t>vit-voshodk-dug</t>
  </si>
  <si>
    <t>vit-voshodp-plosk</t>
  </si>
  <si>
    <t>vit-liliak-plosk</t>
  </si>
  <si>
    <t>vit-liliak-dug</t>
  </si>
  <si>
    <t>vit-liliap-plosk</t>
  </si>
  <si>
    <t>vit-liliac-plosk</t>
  </si>
  <si>
    <t>vit-kvadrok-plosk</t>
  </si>
  <si>
    <t>vit-kvadrok-dug</t>
  </si>
  <si>
    <t>vit-kvadrop-plosk</t>
  </si>
  <si>
    <t>vit-kvadroc-plosk</t>
  </si>
  <si>
    <t>vit-klemk-plosk</t>
  </si>
  <si>
    <t>vit-klemk-dug</t>
  </si>
  <si>
    <t>vit-klemp-plosk</t>
  </si>
  <si>
    <t>vit-klemp-dug</t>
  </si>
  <si>
    <t>vit-klemc-plosk</t>
  </si>
  <si>
    <t>vit-klemc-dug</t>
  </si>
  <si>
    <t>vit-venicek-plosk</t>
  </si>
  <si>
    <t>vit-venicek-dug</t>
  </si>
  <si>
    <t>vit-venicep-plosk</t>
  </si>
  <si>
    <t>vit-venicec-plosk</t>
  </si>
  <si>
    <t>vit-reshk-plosk-mat</t>
  </si>
  <si>
    <t>vit-reshk-dug-mat</t>
  </si>
  <si>
    <t>vit-etudk-plosk-mat</t>
  </si>
  <si>
    <t>vit-etudk-dug-mat</t>
  </si>
  <si>
    <t>vit-etudp-plosk-mat</t>
  </si>
  <si>
    <t>vit-etudc-plosk-mat</t>
  </si>
  <si>
    <t>vit-voshodk-plosk-mat</t>
  </si>
  <si>
    <t>vit-voshodk-dug-mat</t>
  </si>
  <si>
    <t>vit-voshodp-plosk-mat</t>
  </si>
  <si>
    <t>vit-liliak-plosk-mat</t>
  </si>
  <si>
    <t>vit-liliak-dug-mat</t>
  </si>
  <si>
    <t>vit-liliap-plosk-mat</t>
  </si>
  <si>
    <t>vit-liliac-plosk-mat</t>
  </si>
  <si>
    <t>vit-kvadrok-plosk-mat</t>
  </si>
  <si>
    <t>vit-kvadrok-dug-mat</t>
  </si>
  <si>
    <t>vit-kvadrop-plosk-mat</t>
  </si>
  <si>
    <t>vit-kvadroc-plosk-mat</t>
  </si>
  <si>
    <t>vit-klemk-plosk-mat</t>
  </si>
  <si>
    <t>vit-klemk-dug-mat</t>
  </si>
  <si>
    <t>vit-klemp-plosk-mat</t>
  </si>
  <si>
    <t>vit-klemp-dug-mat</t>
  </si>
  <si>
    <t>vit-klemc-plosk-mat</t>
  </si>
  <si>
    <t>vit-klemc-dug-mat</t>
  </si>
  <si>
    <t>vit-venicek-plosk-mat</t>
  </si>
  <si>
    <t>vit-venicek-dug-mat</t>
  </si>
  <si>
    <t>vit-venicep-plosk-mat</t>
  </si>
  <si>
    <t>vit-venicec-plosk-mat</t>
  </si>
  <si>
    <t>Простое стекло</t>
  </si>
  <si>
    <t>Тонированное стекло</t>
  </si>
  <si>
    <t>Простое матовое стекло</t>
  </si>
  <si>
    <t>Тонированное матовое стекло</t>
  </si>
  <si>
    <t>Витражи заливные на матовом стекле</t>
  </si>
  <si>
    <t>usl-lak-ral</t>
  </si>
  <si>
    <t>Стекло 4мм дуг. мат. прост</t>
  </si>
  <si>
    <t>Стекло 4мм плоск. мат. прост</t>
  </si>
  <si>
    <t>Стекло 4мм плоск. мат. тон</t>
  </si>
  <si>
    <t>Стекло 4мм дуг. мат. тон.</t>
  </si>
  <si>
    <t>Стекло 4мм матовое</t>
  </si>
  <si>
    <t>f-iri-fil-blkrzol-356х446</t>
  </si>
  <si>
    <t>f-iri-fil-blkrzol-356х596</t>
  </si>
  <si>
    <t>f-iri-fil-blkrzol-716х242</t>
  </si>
  <si>
    <t>f-iri-fil-blkrzol-716х296</t>
  </si>
  <si>
    <t>f-iri-fil-blkrzol-716х346</t>
  </si>
  <si>
    <t>f-iri-fil-blkrzol-716х366</t>
  </si>
  <si>
    <t>f-iri-fil-blkrzol-716х396</t>
  </si>
  <si>
    <t>f-iri-fil-blkrzol-716х446</t>
  </si>
  <si>
    <t>f-iri-fil-blkrzol-716х596</t>
  </si>
  <si>
    <t>f-iri-fil-blkrzol-916х296</t>
  </si>
  <si>
    <t>f-iri-fil-blkrzol-916х346</t>
  </si>
  <si>
    <t>f-iri-fil-blkrzol-916х396</t>
  </si>
  <si>
    <t>f-iri-fil-blkrzol-916х446</t>
  </si>
  <si>
    <t>f-iri-yach-blkrzol-176х396</t>
  </si>
  <si>
    <t>f-iri-yach-blkrzol-176х446</t>
  </si>
  <si>
    <t>f-iri-yach-blkrzol-176х596</t>
  </si>
  <si>
    <t>friz-viri-dug-blkrzol</t>
  </si>
  <si>
    <t>friz-nf-dug-blkrzol</t>
  </si>
  <si>
    <t>friz-nf-pr-blkrzol-2400х50</t>
  </si>
  <si>
    <t>usl-upak-zheskdfas</t>
  </si>
  <si>
    <t>Жестка упаковка дуговых фасадов</t>
  </si>
  <si>
    <t>usl-obr-cveral</t>
  </si>
  <si>
    <t>Образцы цветов RAL</t>
  </si>
  <si>
    <t>usl-lak-mat</t>
  </si>
  <si>
    <t>Матовый лак</t>
  </si>
  <si>
    <t>Образцы цветов Бора</t>
  </si>
  <si>
    <t>vit-atmosfk-plosk</t>
  </si>
  <si>
    <t>vit-atmosfk-dug</t>
  </si>
  <si>
    <t>Атмосфера-К</t>
  </si>
  <si>
    <t>vit-atmosfpr-plosk</t>
  </si>
  <si>
    <t>vit-atmosfpr-dug</t>
  </si>
  <si>
    <t>Атмосфера-ПР</t>
  </si>
  <si>
    <t>vit-bambukk-plosk</t>
  </si>
  <si>
    <t>vit-bambukk-dug</t>
  </si>
  <si>
    <t>Бамбук-К</t>
  </si>
  <si>
    <t>vit-bambukpr-plosk</t>
  </si>
  <si>
    <t>Бамбук-ПР</t>
  </si>
  <si>
    <t>vit-valensk-plosk</t>
  </si>
  <si>
    <t>vit-valensk-dug</t>
  </si>
  <si>
    <t>Валенсия-К</t>
  </si>
  <si>
    <t>vit-valenspr-plosk</t>
  </si>
  <si>
    <t>vit-valenspr-dug</t>
  </si>
  <si>
    <t>Валенсия-ПР</t>
  </si>
  <si>
    <t>vit-venerak-plosk</t>
  </si>
  <si>
    <t>vit-venerak-dug</t>
  </si>
  <si>
    <t>Венера-К</t>
  </si>
  <si>
    <t>vit-venerap-plosk</t>
  </si>
  <si>
    <t>Венера-П</t>
  </si>
  <si>
    <t>vit-venerac-plosk</t>
  </si>
  <si>
    <t>Венера-Ц</t>
  </si>
  <si>
    <t>vit-vinogradk-plosk</t>
  </si>
  <si>
    <t>vit-vinogradk-dug</t>
  </si>
  <si>
    <t>Виноград-К</t>
  </si>
  <si>
    <t>vit-vinogradp-plosk</t>
  </si>
  <si>
    <t>Виноград-П</t>
  </si>
  <si>
    <t>vit-vinogradc-plosk</t>
  </si>
  <si>
    <t>Виноград-Ц</t>
  </si>
  <si>
    <t>vit-vostokk-plosk</t>
  </si>
  <si>
    <t>vit-vostokk-dug</t>
  </si>
  <si>
    <t>Восток-К</t>
  </si>
  <si>
    <t>vit-vostokp-plosk</t>
  </si>
  <si>
    <t>vit-vostokp-dug</t>
  </si>
  <si>
    <t>Восток-П</t>
  </si>
  <si>
    <t>vit-vostokprf-plosk</t>
  </si>
  <si>
    <t>vit-vostokprf-dug</t>
  </si>
  <si>
    <t>Восток-ПРФ</t>
  </si>
  <si>
    <t>vit-geomk-plosk</t>
  </si>
  <si>
    <t>vit-geomk-dug</t>
  </si>
  <si>
    <t>Геометрия-К</t>
  </si>
  <si>
    <t>vit-geomp-plosk</t>
  </si>
  <si>
    <t>Геометрия-П</t>
  </si>
  <si>
    <t>vit-geomc-plosk</t>
  </si>
  <si>
    <t>Геометрия-Ц</t>
  </si>
  <si>
    <t>vit-gjelk-plosk</t>
  </si>
  <si>
    <t>vit-gjelk-dug</t>
  </si>
  <si>
    <t>Гжель-К</t>
  </si>
  <si>
    <t>vit-gjelp-plosk</t>
  </si>
  <si>
    <t>Гжель-П</t>
  </si>
  <si>
    <t>vit-gjelc-plosk</t>
  </si>
  <si>
    <t>Гжель-Ц</t>
  </si>
  <si>
    <t>vit-jasmink-plosk</t>
  </si>
  <si>
    <t>vit-jasmink-dug</t>
  </si>
  <si>
    <t>Жасмин-К</t>
  </si>
  <si>
    <t>vit-jasminp-plosk</t>
  </si>
  <si>
    <t>vit-jasminp-dug</t>
  </si>
  <si>
    <t>Жасмин-П</t>
  </si>
  <si>
    <t>vit-jasminc-plosk</t>
  </si>
  <si>
    <t>vit-jasminc-dug</t>
  </si>
  <si>
    <t>Жасмин-Ц</t>
  </si>
  <si>
    <t>vit-imperk-plosk</t>
  </si>
  <si>
    <t>vit-imperk-dug</t>
  </si>
  <si>
    <t>Империя-К</t>
  </si>
  <si>
    <t>vit-lotosp-plosk</t>
  </si>
  <si>
    <t>Лотос-П</t>
  </si>
  <si>
    <t>vit-lotosc-plosk</t>
  </si>
  <si>
    <t>Лотос-Ц</t>
  </si>
  <si>
    <t>vit-makik-plosk</t>
  </si>
  <si>
    <t>vit-makik-dug</t>
  </si>
  <si>
    <t>Маки-К</t>
  </si>
  <si>
    <t>vit-nocturnk-plosk</t>
  </si>
  <si>
    <t>vit-nocturnk-dug</t>
  </si>
  <si>
    <t>Ноктюрн-К</t>
  </si>
  <si>
    <t>vit-nocturnp-plosk</t>
  </si>
  <si>
    <t>vit-nocturnp-dug</t>
  </si>
  <si>
    <t>Ноктюрн-П</t>
  </si>
  <si>
    <t>Решетка-С</t>
  </si>
  <si>
    <t>Решетка-К</t>
  </si>
  <si>
    <t>vit-rosap-plosk</t>
  </si>
  <si>
    <t>vit-rosap-dug</t>
  </si>
  <si>
    <t>Роза-П</t>
  </si>
  <si>
    <t>vit-rosac-plosk</t>
  </si>
  <si>
    <t>vit-rosac-dug</t>
  </si>
  <si>
    <t>Роза-Ц</t>
  </si>
  <si>
    <t>vit-sacurak-plosk</t>
  </si>
  <si>
    <t>vit-sacurak-dug</t>
  </si>
  <si>
    <t>Сакура-К</t>
  </si>
  <si>
    <t>vit-sacurap-plosk</t>
  </si>
  <si>
    <t>vit-sacurap-dug</t>
  </si>
  <si>
    <t>Сакура-П</t>
  </si>
  <si>
    <t>vit-sacurac-plosk</t>
  </si>
  <si>
    <t>vit-sacurac-dug</t>
  </si>
  <si>
    <t>Сакура-Ц</t>
  </si>
  <si>
    <t>vit-sonatak-plosk</t>
  </si>
  <si>
    <t>vit-sonatak-dug</t>
  </si>
  <si>
    <t>Соната-К</t>
  </si>
  <si>
    <t>vit-stelak-plosk</t>
  </si>
  <si>
    <t>vit-stelak-dug</t>
  </si>
  <si>
    <t>Стела-К</t>
  </si>
  <si>
    <t>vit-stelap-plosk</t>
  </si>
  <si>
    <t>vit-stelap-dug</t>
  </si>
  <si>
    <t>Стела-П</t>
  </si>
  <si>
    <t>vit-fantask-plosk</t>
  </si>
  <si>
    <t>vit-fantask-dug</t>
  </si>
  <si>
    <t>Фантазия-К</t>
  </si>
  <si>
    <t>Цветение</t>
  </si>
  <si>
    <t>vit-atmosfm-plosk</t>
  </si>
  <si>
    <t>Атмосфера-М</t>
  </si>
  <si>
    <t>vit-bambukm-plosk</t>
  </si>
  <si>
    <t>Бамбук-М</t>
  </si>
  <si>
    <t>vit-valensm-plosk</t>
  </si>
  <si>
    <t>Валенсия-М</t>
  </si>
  <si>
    <t>vit-veneram-plosk</t>
  </si>
  <si>
    <t>Венера-М</t>
  </si>
  <si>
    <t>vit-venicem-plosk</t>
  </si>
  <si>
    <t>Венеция-М</t>
  </si>
  <si>
    <t>vit-vinogradm-plosk</t>
  </si>
  <si>
    <t>Виноград-М</t>
  </si>
  <si>
    <t>vit-vostokm-plosk</t>
  </si>
  <si>
    <t>Восток-М</t>
  </si>
  <si>
    <t>vit-voshodm-plosk</t>
  </si>
  <si>
    <t>Восход-М</t>
  </si>
  <si>
    <t>vit-geomm-plosk</t>
  </si>
  <si>
    <t>Геометрия-М</t>
  </si>
  <si>
    <t>vit-gjelm-plosk</t>
  </si>
  <si>
    <t>Гжель-М</t>
  </si>
  <si>
    <t>vit-jasminm-plosk</t>
  </si>
  <si>
    <t>Жасмин-М</t>
  </si>
  <si>
    <t>vit-imperm-plosk</t>
  </si>
  <si>
    <t>Империя-М</t>
  </si>
  <si>
    <t>vit-kvadrom-plosk</t>
  </si>
  <si>
    <t>Квадро-М</t>
  </si>
  <si>
    <t>vit-klemm-plosk</t>
  </si>
  <si>
    <t>Клемантин-М</t>
  </si>
  <si>
    <t>vit-liliam-plosk</t>
  </si>
  <si>
    <t>Лилия-М</t>
  </si>
  <si>
    <t>vit-lotosm-plosk</t>
  </si>
  <si>
    <t>Лотос-М</t>
  </si>
  <si>
    <t>vit-makim-plosk</t>
  </si>
  <si>
    <t>Маки-М</t>
  </si>
  <si>
    <t>vit-nocturnm-plosk</t>
  </si>
  <si>
    <t>Ноктюрн-М</t>
  </si>
  <si>
    <t>vit-rosam-plosk</t>
  </si>
  <si>
    <t>Роза-М</t>
  </si>
  <si>
    <t>vit-sacuram-plosk</t>
  </si>
  <si>
    <t>Сакура-М</t>
  </si>
  <si>
    <t>vit-sonatam-plosk</t>
  </si>
  <si>
    <t>Соната-М</t>
  </si>
  <si>
    <t>vit-stelam-plosk</t>
  </si>
  <si>
    <t>Стела-М</t>
  </si>
  <si>
    <t>vit-fantasm-plosk</t>
  </si>
  <si>
    <t>Фантазия-М</t>
  </si>
  <si>
    <t>vit-etudm-plosk</t>
  </si>
  <si>
    <t>Этюд-М</t>
  </si>
  <si>
    <t>vit-atmosfk-plosk-mat</t>
  </si>
  <si>
    <t>vit-atmosfk-dug-mat</t>
  </si>
  <si>
    <t>vit-atmosfpr-plosk-mat</t>
  </si>
  <si>
    <t>vit-atmosfpr-dug-mat</t>
  </si>
  <si>
    <t>vit-bambukk-plosk-mat</t>
  </si>
  <si>
    <t>vit-bambukk-dug-mat</t>
  </si>
  <si>
    <t>vit-bambukpr-plosk-mat</t>
  </si>
  <si>
    <t>vit-valensk-plosk-mat</t>
  </si>
  <si>
    <t>vit-valensk-dug-mat</t>
  </si>
  <si>
    <t>vit-valenspr-plosk-mat</t>
  </si>
  <si>
    <t>vit-valenspr-dug-mat</t>
  </si>
  <si>
    <t>vit-venerak-plosk-mat</t>
  </si>
  <si>
    <t>vit-venerak-dug-mat</t>
  </si>
  <si>
    <t>vit-venerap-plosk-mat</t>
  </si>
  <si>
    <t>vit-venerac-plosk-mat</t>
  </si>
  <si>
    <t>vit-vinogradk-plosk-mat</t>
  </si>
  <si>
    <t>vit-vinogradk-dug-mat</t>
  </si>
  <si>
    <t>vit-vinogradp-plosk-mat</t>
  </si>
  <si>
    <t>vit-vinogradc-plosk-mat</t>
  </si>
  <si>
    <t>vit-vostokk-plosk-mat</t>
  </si>
  <si>
    <t>vit-vostokk-dug-mat</t>
  </si>
  <si>
    <t>vit-vostokp-plosk-mat</t>
  </si>
  <si>
    <t>vit-vostokp-dug-mat</t>
  </si>
  <si>
    <t>vit-vostokprf-plosk-mat</t>
  </si>
  <si>
    <t>vit-vostokprf-dug-mat</t>
  </si>
  <si>
    <t>vit-geomk-plosk-mat</t>
  </si>
  <si>
    <t>vit-geomk-dug-mat</t>
  </si>
  <si>
    <t>vit-geomp-plosk-mat</t>
  </si>
  <si>
    <t>vit-geomc-plosk-mat</t>
  </si>
  <si>
    <t>vit-gjelk-plosk-mat</t>
  </si>
  <si>
    <t>vit-gjelk-dug-mat</t>
  </si>
  <si>
    <t>vit-gjelp-plosk-mat</t>
  </si>
  <si>
    <t>vit-gjelc-plosk-mat</t>
  </si>
  <si>
    <t>vit-jasmink-plosk-mat</t>
  </si>
  <si>
    <t>vit-jasmink-dug-mat</t>
  </si>
  <si>
    <t>vit-jasminp-plosk-mat</t>
  </si>
  <si>
    <t>vit-jasminp-dug-mat</t>
  </si>
  <si>
    <t>vit-jasminc-plosk-mat</t>
  </si>
  <si>
    <t>vit-jasminc-dug-mat</t>
  </si>
  <si>
    <t>vit-imperk-plosk-mat</t>
  </si>
  <si>
    <t>vit-imperk-dug-mat</t>
  </si>
  <si>
    <t>vit-lotosp-plosk-mat</t>
  </si>
  <si>
    <t>vit-lotosc-plosk-mat</t>
  </si>
  <si>
    <t>vit-makik-plosk-mat</t>
  </si>
  <si>
    <t>vit-makik-dug-mat</t>
  </si>
  <si>
    <t>vit-nocturnk-plosk-mat</t>
  </si>
  <si>
    <t>vit-nocturnk-dug-mat</t>
  </si>
  <si>
    <t>vit-nocturnp-plosk-mat</t>
  </si>
  <si>
    <t>vit-nocturnp-dug-mat</t>
  </si>
  <si>
    <t>vit-rosap-plosk-mat</t>
  </si>
  <si>
    <t>vit-rosap-dug-mat</t>
  </si>
  <si>
    <t>vit-rosac-plosk-mat</t>
  </si>
  <si>
    <t>vit-rosac-dug-mat</t>
  </si>
  <si>
    <t>vit-sacurak-plosk-mat</t>
  </si>
  <si>
    <t>vit-sacurak-dug-mat</t>
  </si>
  <si>
    <t>vit-sacurap-plosk-mat</t>
  </si>
  <si>
    <t>vit-sacurap-dug-mat</t>
  </si>
  <si>
    <t>vit-sacurac-plosk-mat</t>
  </si>
  <si>
    <t>vit-sacurac-dug-mat</t>
  </si>
  <si>
    <t>vit-sonatak-plosk-mat</t>
  </si>
  <si>
    <t>vit-sonatak-dug-mat</t>
  </si>
  <si>
    <t>vit-stelak-plosk-mat</t>
  </si>
  <si>
    <t>vit-stelak-dug-mat</t>
  </si>
  <si>
    <t>vit-stelap-plosk-mat</t>
  </si>
  <si>
    <t>vit-stelap-dug-mat</t>
  </si>
  <si>
    <t>vit-fantask-plosk-mat</t>
  </si>
  <si>
    <t>vit-fantask-dug-mat</t>
  </si>
  <si>
    <t>vit-atmosfm-plosk-mat</t>
  </si>
  <si>
    <t>vit-bambukm-plosk-mat</t>
  </si>
  <si>
    <t>vit-valensm-plosk-mat</t>
  </si>
  <si>
    <t>vit-veneram-plosk-mat</t>
  </si>
  <si>
    <t>vit-venicem-plosk-mat</t>
  </si>
  <si>
    <t>vit-vinogradm-plosk-mat</t>
  </si>
  <si>
    <t>vit-vostokm-plosk-mat</t>
  </si>
  <si>
    <t>vit-voshodm-plosk-mat</t>
  </si>
  <si>
    <t>vit-geomm-plosk-mat</t>
  </si>
  <si>
    <t>vit-gjelm-plosk-mat</t>
  </si>
  <si>
    <t>vit-jasminm-plosk-mat</t>
  </si>
  <si>
    <t>vit-imperm-plosk-mat</t>
  </si>
  <si>
    <t>vit-kvadrom-plosk-mat</t>
  </si>
  <si>
    <t>vit-klemm-plosk-mat</t>
  </si>
  <si>
    <t>vit-liliam-plosk-mat</t>
  </si>
  <si>
    <t>vit-lotosm-plosk-mat</t>
  </si>
  <si>
    <t>vit-makim-plosk-mat</t>
  </si>
  <si>
    <t>vit-nocturnm-plosk-mat</t>
  </si>
  <si>
    <t>vit-rosam-plosk-mat</t>
  </si>
  <si>
    <t>vit-sacuram-plosk-mat</t>
  </si>
  <si>
    <t>vit-sonatam-plosk-mat</t>
  </si>
  <si>
    <t>vit-stelam-plosk-mat</t>
  </si>
  <si>
    <t>vit-fantasm-plosk-mat</t>
  </si>
  <si>
    <t>vit-etudm-plosk-mat</t>
  </si>
  <si>
    <t>Полный рисунок витража – размер от 600*300, менее этого – упрощенное изображение
Вариации витражей:
К – только контурное изображение 
П - прозрачная заливка
Ц - цветная заливка
Ф - фацет
С - стразы
Р - рельефная заливка
М - уменьшенное изображение
Максимальные высота и ширина, как на простых витражах (дуговые до 1400, плоские до 2400*800)
Цвет контура: прозрачный, серый, золотой, белый</t>
  </si>
  <si>
    <r>
      <rPr>
        <b/>
        <sz val="8"/>
        <rFont val="Arial"/>
        <family val="2"/>
      </rPr>
      <t>Дуговые витражи:</t>
    </r>
    <r>
      <rPr>
        <sz val="8"/>
        <rFont val="Arial"/>
        <family val="2"/>
      </rPr>
      <t xml:space="preserve"> Базовые цены для витражей высотой до 588мм
При увеличении выоты на каждые 100мм цена увеличивается на 5%
Витражи, содержащие фацеты, пересчитываются без учета стоимости фацета. Т.е. перед расчетом стоимости витража нестандартной высоты от базовой цены отнимается стоимость дугового фацета. И после пересчета прибавляется обратно.</t>
    </r>
  </si>
  <si>
    <t>Витражи плёночные простые</t>
  </si>
  <si>
    <t>Витражи плёночные сложные</t>
  </si>
  <si>
    <t>Витражи заливные на стандартном стекле</t>
  </si>
  <si>
    <t>vit-reshs-plosk-mat</t>
  </si>
  <si>
    <t>vit-reshs-dug-mat</t>
  </si>
  <si>
    <t>vit-lotosk-plosk</t>
  </si>
  <si>
    <t>vit-lotosk-dug</t>
  </si>
  <si>
    <t>Лотос-К</t>
  </si>
  <si>
    <t>vit-reshs-plosk</t>
  </si>
  <si>
    <t>vit-reshs-dug</t>
  </si>
  <si>
    <t>vit-lotosk-plosk-mat</t>
  </si>
  <si>
    <t>vit-lotosk-dug-mat</t>
  </si>
  <si>
    <t>vit-cvetenc-plosk</t>
  </si>
  <si>
    <t>vit-cvetenc-plosk-mat</t>
  </si>
  <si>
    <t>Адель</t>
  </si>
  <si>
    <t>Гранада</t>
  </si>
  <si>
    <t>Накладка на бутылочницу Клеопатра</t>
  </si>
  <si>
    <t>vit-st4-plosk-mat</t>
  </si>
  <si>
    <t>vit-st4-dug-mat</t>
  </si>
  <si>
    <t>usl-vkl-stekloshnurdug</t>
  </si>
  <si>
    <t>Восход-КФ</t>
  </si>
  <si>
    <t>vit-voshodkf-plosk</t>
  </si>
  <si>
    <t>vit-voshodkf-dug</t>
  </si>
  <si>
    <t>vit-voshodkf-plosk-mat</t>
  </si>
  <si>
    <t>vit-voshodkf-dug-mat</t>
  </si>
  <si>
    <t>Кантри</t>
  </si>
  <si>
    <t>Фриз Кантри прямой верхний</t>
  </si>
  <si>
    <t>Фриз Кантри дуговой верхний</t>
  </si>
  <si>
    <t>Фриз Кантри дуговой обратный верхний</t>
  </si>
  <si>
    <t>Фигурный переплёт для фасада "Прямая"</t>
  </si>
  <si>
    <t>Фигурный переплёт для фасада "Роза"</t>
  </si>
  <si>
    <t>Стекла</t>
  </si>
  <si>
    <t>Образцы</t>
  </si>
  <si>
    <t>usl-vkl-dek</t>
  </si>
  <si>
    <t>Вклейка декора</t>
  </si>
  <si>
    <t>Накладка на фриз верхний Кантри прямая</t>
  </si>
  <si>
    <t>С переплетом</t>
  </si>
  <si>
    <t>Подиум Клио прямой 100мм</t>
  </si>
  <si>
    <t>Подиум Клио дуговой 100мм</t>
  </si>
  <si>
    <t>Подиум Клио дуговой обратный 100мм</t>
  </si>
  <si>
    <t>Подиум Клио прямой 120мм</t>
  </si>
  <si>
    <t>Подиум Клио дуговой 120мм</t>
  </si>
  <si>
    <t>Подиум Клио дуговой обратный 120мм</t>
  </si>
  <si>
    <t>Примерный подбор текстуры и патины</t>
  </si>
  <si>
    <t>Услуга «Примерный подбор текстуры и патины» нужна для изготовления к основному заказу доделки, с примерно схожей текстурой древесины и схожим рисунком зачистки патины</t>
  </si>
  <si>
    <t>vit-a1-plosk-mat</t>
  </si>
  <si>
    <t>vit-a1-dug-mat</t>
  </si>
  <si>
    <t>vit-a2-plosk-mat</t>
  </si>
  <si>
    <t>vit-a2-dug-mat</t>
  </si>
  <si>
    <t>vit-a3-plosk-im-mat</t>
  </si>
  <si>
    <t>vit-a3-dug-mat</t>
  </si>
  <si>
    <t>vit-a3-plosk-kr-mat</t>
  </si>
  <si>
    <t>vit-a3-dug-kr-mat</t>
  </si>
  <si>
    <t>vit-a5-plosk-im-mat</t>
  </si>
  <si>
    <t>vit-a5-dug-mat</t>
  </si>
  <si>
    <t>vit-a5-plosk-kr-mat</t>
  </si>
  <si>
    <t>vit-a5-dug-kr-mat</t>
  </si>
  <si>
    <t>vit-a6-plosk-im-mat</t>
  </si>
  <si>
    <t>vit-a6-dug-mat</t>
  </si>
  <si>
    <t>vit-a6-plosk-kr-mat</t>
  </si>
  <si>
    <t>vit-a6-dug-kr-mat</t>
  </si>
  <si>
    <t>vit-a7-plosk-kr-mat</t>
  </si>
  <si>
    <t>vit-a7-dug-kr-mat</t>
  </si>
  <si>
    <t>vit-vesna-plosk-mat</t>
  </si>
  <si>
    <t>vit-vesna-dug-mat</t>
  </si>
  <si>
    <t>vit-vetoch-plosk-mat</t>
  </si>
  <si>
    <t>vit-vetoch-dug-mat</t>
  </si>
  <si>
    <t>vit-zve-plosk-mat</t>
  </si>
  <si>
    <t>vit-zve-dug-mat</t>
  </si>
  <si>
    <t>vit-kva-plosk-mat</t>
  </si>
  <si>
    <t>vit-kva-dug-mat</t>
  </si>
  <si>
    <t>vit-kva2-plosk-mat</t>
  </si>
  <si>
    <t>vit-kva2-dug-mat</t>
  </si>
  <si>
    <t>vit-kor-plosk-mat</t>
  </si>
  <si>
    <t>vit-kor-dug-mat</t>
  </si>
  <si>
    <t>vit-korb-plosk-mat</t>
  </si>
  <si>
    <t>vit-korb-dug-mat</t>
  </si>
  <si>
    <t>vit-mag-plosk-mat</t>
  </si>
  <si>
    <t>vit-mag-dug-mat</t>
  </si>
  <si>
    <t>vit-mar-plosk-mat</t>
  </si>
  <si>
    <t>vit-mar-dug-mat</t>
  </si>
  <si>
    <t>vit-oval-plosk-mat</t>
  </si>
  <si>
    <t>vit-oval-dug-mat</t>
  </si>
  <si>
    <t>vit-fon-plosk-mat</t>
  </si>
  <si>
    <t>vit-fon-dug-mat</t>
  </si>
  <si>
    <t>vit-edem-plosk-mat</t>
  </si>
  <si>
    <t>vit-edem-dug-mat</t>
  </si>
  <si>
    <t>vit-edem2-plosk-mat</t>
  </si>
  <si>
    <t>vit-edem2-dug-mat</t>
  </si>
  <si>
    <t>Обработка МДФ лицо с двух сторон</t>
  </si>
  <si>
    <t>Ножки подиума</t>
  </si>
  <si>
    <t>Ножка подиума (100*50*70)</t>
  </si>
  <si>
    <t>Ножка подиума (120*50*70)</t>
  </si>
  <si>
    <t>Ножка подиума (100*60*55)</t>
  </si>
  <si>
    <t>Ножка подиума (100*100*70)</t>
  </si>
  <si>
    <t>Ножка подиума (120*100*70)</t>
  </si>
  <si>
    <t>Ножка подиума (120*60*55)</t>
  </si>
  <si>
    <t>Планка с рустом Премиум 30мм</t>
  </si>
  <si>
    <t>Планка с рустом Премиум 60мм</t>
  </si>
  <si>
    <t>Планка с рустом Премиум 80мм</t>
  </si>
  <si>
    <t>Планка с рустом Премиум 100мм</t>
  </si>
  <si>
    <t>Планка с рустом Премиум 116мм</t>
  </si>
  <si>
    <t>Планка с рустом Премиум 146мм</t>
  </si>
  <si>
    <t>Планка с рустом Премиум 177мм</t>
  </si>
  <si>
    <t>Планка с рустом Модерн 30мм</t>
  </si>
  <si>
    <t>Планка с рустом Модерн 60мм</t>
  </si>
  <si>
    <t>Планка с рустом Модерн 80мм</t>
  </si>
  <si>
    <t>Планка с рустом Модерн 100мм</t>
  </si>
  <si>
    <t>Планка с рустом Модерн 116мм</t>
  </si>
  <si>
    <t>Планка с рустом Модерн 146мм</t>
  </si>
  <si>
    <t>Планка с рустом Модерн 177мм</t>
  </si>
  <si>
    <t>Планка с рустом Капри 30мм</t>
  </si>
  <si>
    <t>Планка с рустом Капри 60мм</t>
  </si>
  <si>
    <t>Планка с рустом Капри 80мм</t>
  </si>
  <si>
    <t>Планка с рустом Капри 100мм</t>
  </si>
  <si>
    <t>Планка с рустом Капри 116мм</t>
  </si>
  <si>
    <t>Планка с рустом Капри 146мм</t>
  </si>
  <si>
    <t>Планка с рустом Капри 177мм</t>
  </si>
  <si>
    <t>Некрашеный</t>
  </si>
  <si>
    <t>Крашеный</t>
  </si>
  <si>
    <t>МДФ</t>
  </si>
  <si>
    <t>Интегро</t>
  </si>
  <si>
    <t>Манчестер</t>
  </si>
  <si>
    <t>Францесска</t>
  </si>
  <si>
    <t>usl-obr-cvecs</t>
  </si>
  <si>
    <t>Образцы цветов CS</t>
  </si>
  <si>
    <t>В качестве ящичной накладки используется планка с рустом Капри (см. раздел "Планки и накладки")</t>
  </si>
  <si>
    <t>В качестве ящичной накладки используется планка с рустом Модерн (см. раздел "Планки и накладки")</t>
  </si>
  <si>
    <t>Фриз Гранада прямой верхний</t>
  </si>
  <si>
    <t>Накладка на фриз верхний Гранада прямая</t>
  </si>
  <si>
    <t>Подиум Гранада прямой 100мм</t>
  </si>
  <si>
    <t>f-ark-fil</t>
  </si>
  <si>
    <t>f-ark-st</t>
  </si>
  <si>
    <t>f-ark-res</t>
  </si>
  <si>
    <t>f-ark-dugf</t>
  </si>
  <si>
    <t>f-ark-dugs</t>
  </si>
  <si>
    <t>f-ark-dugo</t>
  </si>
  <si>
    <t>f-ark-fig1f</t>
  </si>
  <si>
    <t>f-ark-fig1s</t>
  </si>
  <si>
    <t>f-ark-fig2f</t>
  </si>
  <si>
    <t>f-ark-fig2s</t>
  </si>
  <si>
    <t>f-ark-fig3f</t>
  </si>
  <si>
    <t>f-ark-fig3s</t>
  </si>
  <si>
    <t>f-ark-fig4f</t>
  </si>
  <si>
    <t>f-ark-fig4s</t>
  </si>
  <si>
    <t>f-ark-komb-fil</t>
  </si>
  <si>
    <t>f-ark-komb-st</t>
  </si>
  <si>
    <t>f-ark-komb-res</t>
  </si>
  <si>
    <t>f-ark-yach</t>
  </si>
  <si>
    <t>f-ark-dugy</t>
  </si>
  <si>
    <t>f-2ark-fil</t>
  </si>
  <si>
    <t>f-2ark-st</t>
  </si>
  <si>
    <t>f-2ark-res</t>
  </si>
  <si>
    <t>f-2ark-dugf</t>
  </si>
  <si>
    <t>f-2ark-dugs</t>
  </si>
  <si>
    <t>f-2ark-dugo</t>
  </si>
  <si>
    <t>f-2ark-fig1f</t>
  </si>
  <si>
    <t>f-2ark-fig1s</t>
  </si>
  <si>
    <t>f-2ark-fig2f</t>
  </si>
  <si>
    <t>f-2ark-fig2s</t>
  </si>
  <si>
    <t>f-2ark-fig3f</t>
  </si>
  <si>
    <t>f-2ark-fig3s</t>
  </si>
  <si>
    <t>f-2ark-fig4f</t>
  </si>
  <si>
    <t>f-2ark-fig4s</t>
  </si>
  <si>
    <t>f-2ark-komb-fil</t>
  </si>
  <si>
    <t>f-2ark-komb-st</t>
  </si>
  <si>
    <t>f-2ark-komb-res</t>
  </si>
  <si>
    <t>f-2ark-yach</t>
  </si>
  <si>
    <t>f-2ark-dugy</t>
  </si>
  <si>
    <t>f-prm-fil</t>
  </si>
  <si>
    <t>f-prm-st</t>
  </si>
  <si>
    <t>f-prm-res</t>
  </si>
  <si>
    <t>f-prm-prp</t>
  </si>
  <si>
    <t>f-prm-dugf</t>
  </si>
  <si>
    <t>f-prm-dugs</t>
  </si>
  <si>
    <t>f-prm-dugo</t>
  </si>
  <si>
    <t>f-prm-fig1f</t>
  </si>
  <si>
    <t>f-prm-fig1s</t>
  </si>
  <si>
    <t>f-prm-fig2f</t>
  </si>
  <si>
    <t>f-prm-fig2s</t>
  </si>
  <si>
    <t>f-prm-fig3f</t>
  </si>
  <si>
    <t>f-prm-fig3s</t>
  </si>
  <si>
    <t>f-prm-fig4f</t>
  </si>
  <si>
    <t>f-prm-fig4s</t>
  </si>
  <si>
    <t>f-prm-komb-fil</t>
  </si>
  <si>
    <t>f-prm-komb-st</t>
  </si>
  <si>
    <t>f-prm-komb-res</t>
  </si>
  <si>
    <t>f-prm-yach</t>
  </si>
  <si>
    <t>f-prm-dugy</t>
  </si>
  <si>
    <t>fper-prm</t>
  </si>
  <si>
    <t>f-cli-fil</t>
  </si>
  <si>
    <t>f-cli-st</t>
  </si>
  <si>
    <t>f-cli-res</t>
  </si>
  <si>
    <t>f-cli-prp</t>
  </si>
  <si>
    <t>f-cli-dugf</t>
  </si>
  <si>
    <t>f-cli-dugs</t>
  </si>
  <si>
    <t>f-cli-dugo</t>
  </si>
  <si>
    <t>f-cli-yach</t>
  </si>
  <si>
    <t>f-cli-dugy</t>
  </si>
  <si>
    <t>f-afr-fil</t>
  </si>
  <si>
    <t>f-afr-st</t>
  </si>
  <si>
    <t>f-afr-res</t>
  </si>
  <si>
    <t>f-afr-prp</t>
  </si>
  <si>
    <t>f-afr-dugf</t>
  </si>
  <si>
    <t>f-afr-dugs</t>
  </si>
  <si>
    <t>f-afr-dugo</t>
  </si>
  <si>
    <t>f-afr-yach</t>
  </si>
  <si>
    <t>f-afr-dugy</t>
  </si>
  <si>
    <t>f-iri-fil</t>
  </si>
  <si>
    <t>f-iri-st</t>
  </si>
  <si>
    <t>f-iri-res</t>
  </si>
  <si>
    <t>f-iri-prp</t>
  </si>
  <si>
    <t>f-iri-dugf</t>
  </si>
  <si>
    <t>f-iri-dugs</t>
  </si>
  <si>
    <t>f-iri-dugo</t>
  </si>
  <si>
    <t>f-iri-yach</t>
  </si>
  <si>
    <t>f-iri-dugy</t>
  </si>
  <si>
    <t>f-nay-fil</t>
  </si>
  <si>
    <t>f-nay-st</t>
  </si>
  <si>
    <t>f-nay-res</t>
  </si>
  <si>
    <t>f-nay-prp</t>
  </si>
  <si>
    <t>f-nay-dugf</t>
  </si>
  <si>
    <t>f-nay-dugs</t>
  </si>
  <si>
    <t>f-nay-dugo</t>
  </si>
  <si>
    <t>f-nay-yach</t>
  </si>
  <si>
    <t>f-nay-dugy</t>
  </si>
  <si>
    <t>f-nik-fil</t>
  </si>
  <si>
    <t>f-nik-st</t>
  </si>
  <si>
    <t>f-nik-res</t>
  </si>
  <si>
    <t>f-nik-prp</t>
  </si>
  <si>
    <t>f-nik-komb-fil</t>
  </si>
  <si>
    <t>f-nik-komb-st</t>
  </si>
  <si>
    <t>f-nik-dugf</t>
  </si>
  <si>
    <t>f-nik-dugs</t>
  </si>
  <si>
    <t>f-nik-dugo</t>
  </si>
  <si>
    <t>f-nik-yach</t>
  </si>
  <si>
    <t>f-nik-dugy</t>
  </si>
  <si>
    <t>f-vik-fil</t>
  </si>
  <si>
    <t>f-vik-st</t>
  </si>
  <si>
    <t>f-vik-res</t>
  </si>
  <si>
    <t>f-vik-prp</t>
  </si>
  <si>
    <t>f-vik-dugf</t>
  </si>
  <si>
    <t>f-vik-dugs</t>
  </si>
  <si>
    <t>f-vik-dugo</t>
  </si>
  <si>
    <t>f-gra-fil</t>
  </si>
  <si>
    <t>f-gra-st</t>
  </si>
  <si>
    <t>f-gra-res</t>
  </si>
  <si>
    <t>f-gra-prp</t>
  </si>
  <si>
    <t>f-gra-dugf</t>
  </si>
  <si>
    <t>f-gra-dugs</t>
  </si>
  <si>
    <t>f-gra-dugo</t>
  </si>
  <si>
    <t>f-gra-yach</t>
  </si>
  <si>
    <t>f-gra-dugy</t>
  </si>
  <si>
    <t>f-oli-fil</t>
  </si>
  <si>
    <t>f-oli-st</t>
  </si>
  <si>
    <t>f-oli-res</t>
  </si>
  <si>
    <t>f-oli-prp</t>
  </si>
  <si>
    <t>f-oli-komb-fil</t>
  </si>
  <si>
    <t>f-oli-komb-st</t>
  </si>
  <si>
    <t>f-oli-dugf</t>
  </si>
  <si>
    <t>f-oli-dugs</t>
  </si>
  <si>
    <t>f-oli-dugo</t>
  </si>
  <si>
    <t>f-oli-yach</t>
  </si>
  <si>
    <t>f-oli-dugy</t>
  </si>
  <si>
    <t>f-flo-fil</t>
  </si>
  <si>
    <t>f-flo-st</t>
  </si>
  <si>
    <t>f-flo-res</t>
  </si>
  <si>
    <t>f-flo-prp</t>
  </si>
  <si>
    <t>f-flo-dugf</t>
  </si>
  <si>
    <t>f-flo-dugs</t>
  </si>
  <si>
    <t>f-flo-dugo</t>
  </si>
  <si>
    <t>f-flo-yach</t>
  </si>
  <si>
    <t>f-lau-fil</t>
  </si>
  <si>
    <t>f-lau-st</t>
  </si>
  <si>
    <t>f-lau-res</t>
  </si>
  <si>
    <t>f-lau-prp</t>
  </si>
  <si>
    <t>f-lau-dugf</t>
  </si>
  <si>
    <t>f-lau-dugs</t>
  </si>
  <si>
    <t>f-lau-dugo</t>
  </si>
  <si>
    <t>f-lau-yach</t>
  </si>
  <si>
    <t>f-adl-fil</t>
  </si>
  <si>
    <t>f-adl-st</t>
  </si>
  <si>
    <t>f-adl-res</t>
  </si>
  <si>
    <t>f-adl-prp</t>
  </si>
  <si>
    <t>f-adl-dugf</t>
  </si>
  <si>
    <t>f-adl-dugs</t>
  </si>
  <si>
    <t>f-adl-dugo</t>
  </si>
  <si>
    <t>f-adl-yach</t>
  </si>
  <si>
    <t>f-grn-fil</t>
  </si>
  <si>
    <t>f-grn-st</t>
  </si>
  <si>
    <t>f-grn-res</t>
  </si>
  <si>
    <t>f-grn-yach</t>
  </si>
  <si>
    <t>friz-vgrn-pr</t>
  </si>
  <si>
    <t>nakl-frvgrn-pram</t>
  </si>
  <si>
    <t>pod-prgrn1</t>
  </si>
  <si>
    <t>f-roz-fil</t>
  </si>
  <si>
    <t>f-roz-st</t>
  </si>
  <si>
    <t>f-roz-res</t>
  </si>
  <si>
    <t>f-roz-prp</t>
  </si>
  <si>
    <t>f-roz-dugf</t>
  </si>
  <si>
    <t>f-roz-dugs</t>
  </si>
  <si>
    <t>f-roz-dugo</t>
  </si>
  <si>
    <t>f-roz-yach</t>
  </si>
  <si>
    <t>f-roz-dugy</t>
  </si>
  <si>
    <t>fper-roz</t>
  </si>
  <si>
    <t>f-mdr-fil</t>
  </si>
  <si>
    <t>f-mdr-st</t>
  </si>
  <si>
    <t>f-mdr-res</t>
  </si>
  <si>
    <t>f-mdr-dugf</t>
  </si>
  <si>
    <t>f-mdr-dugs</t>
  </si>
  <si>
    <t>f-mdr-dugo</t>
  </si>
  <si>
    <t>f-kpr-fil</t>
  </si>
  <si>
    <t>f-kpr-st</t>
  </si>
  <si>
    <t>f-kpr-res</t>
  </si>
  <si>
    <t>f-kpr-prp</t>
  </si>
  <si>
    <t>f-kpr-dugf</t>
  </si>
  <si>
    <t>f-kpr-dugs</t>
  </si>
  <si>
    <t>f-kpr-dugo</t>
  </si>
  <si>
    <t>f-int-fil</t>
  </si>
  <si>
    <t>f-int-st</t>
  </si>
  <si>
    <t>f-int-prp</t>
  </si>
  <si>
    <t>f-int-yach</t>
  </si>
  <si>
    <t>f-man-fil</t>
  </si>
  <si>
    <t>f-man-st</t>
  </si>
  <si>
    <t>f-man-res</t>
  </si>
  <si>
    <t>f-man-prp</t>
  </si>
  <si>
    <t>f-man-dugf</t>
  </si>
  <si>
    <t>f-man-dugs</t>
  </si>
  <si>
    <t>f-man-dugo</t>
  </si>
  <si>
    <t>f-man-yach</t>
  </si>
  <si>
    <t>f-fra-fil</t>
  </si>
  <si>
    <t>f-fra-st</t>
  </si>
  <si>
    <t>f-fra-res</t>
  </si>
  <si>
    <t>f-fra-prp</t>
  </si>
  <si>
    <t>f-fra-dugf</t>
  </si>
  <si>
    <t>f-fra-dugs</t>
  </si>
  <si>
    <t>f-fra-dugo</t>
  </si>
  <si>
    <t>f-fra-yach</t>
  </si>
  <si>
    <t>f-ilv-ree</t>
  </si>
  <si>
    <t>coln-zhas</t>
  </si>
  <si>
    <t>coln-mag</t>
  </si>
  <si>
    <t>coln-pap</t>
  </si>
  <si>
    <t>coln-bar</t>
  </si>
  <si>
    <t>coln-afi</t>
  </si>
  <si>
    <t>coln-patr</t>
  </si>
  <si>
    <t>opor-afi</t>
  </si>
  <si>
    <t>opor-lil</t>
  </si>
  <si>
    <t>opor-pap</t>
  </si>
  <si>
    <t>opor-mag</t>
  </si>
  <si>
    <t>opor-bar</t>
  </si>
  <si>
    <t>opor-kle</t>
  </si>
  <si>
    <t>opor-patr</t>
  </si>
  <si>
    <t>opor-frev</t>
  </si>
  <si>
    <t>opor-fren</t>
  </si>
  <si>
    <t>rez-magkol</t>
  </si>
  <si>
    <t>rez-barkol</t>
  </si>
  <si>
    <t>rez-papkol</t>
  </si>
  <si>
    <t>rez-magop</t>
  </si>
  <si>
    <t>rez-barop</t>
  </si>
  <si>
    <t>rez-papop</t>
  </si>
  <si>
    <t>nakl-magm</t>
  </si>
  <si>
    <t>nakl-magb</t>
  </si>
  <si>
    <t>rez-gerb</t>
  </si>
  <si>
    <t>rez-iris</t>
  </si>
  <si>
    <t>roz-bar</t>
  </si>
  <si>
    <t>roz-zhe1</t>
  </si>
  <si>
    <t>roz-zhe2</t>
  </si>
  <si>
    <t>roz-zhe3</t>
  </si>
  <si>
    <t>vin-orf</t>
  </si>
  <si>
    <t>vin-fnix</t>
  </si>
  <si>
    <t>vin-feon</t>
  </si>
  <si>
    <t>vin-patr</t>
  </si>
  <si>
    <t>friz-vm-pr</t>
  </si>
  <si>
    <t>friz-vm-dug</t>
  </si>
  <si>
    <t>friz-vm-obr</t>
  </si>
  <si>
    <t>friz-nm-pr</t>
  </si>
  <si>
    <t>friz-nm-dug</t>
  </si>
  <si>
    <t>friz-nm-obr</t>
  </si>
  <si>
    <t>friz-vklas-pr</t>
  </si>
  <si>
    <t>friz-vklas-dug</t>
  </si>
  <si>
    <t>friz-vklas-obr</t>
  </si>
  <si>
    <t>nakl-frvklas-pram</t>
  </si>
  <si>
    <t>nakl-frvklas-nar90</t>
  </si>
  <si>
    <t>nakl-frvklas-vn90</t>
  </si>
  <si>
    <t>nakl-frvklas-nar135</t>
  </si>
  <si>
    <t>nakl-frvklas-vn135</t>
  </si>
  <si>
    <t>friz-vafr-pr</t>
  </si>
  <si>
    <t>friz-vafr-dug</t>
  </si>
  <si>
    <t>friz-vafr-obr</t>
  </si>
  <si>
    <t>nakl-frvafr-pram</t>
  </si>
  <si>
    <t>nakl-frvafr-nar90</t>
  </si>
  <si>
    <t>nakl-frvafr-vn90</t>
  </si>
  <si>
    <t>nakl-frvafr-nar135</t>
  </si>
  <si>
    <t>nakl-frvafr-vn135</t>
  </si>
  <si>
    <t>friz-viri-pr</t>
  </si>
  <si>
    <t>friz-viri-dug</t>
  </si>
  <si>
    <t>friz-viri-obr</t>
  </si>
  <si>
    <t>nakl-frviri-pram</t>
  </si>
  <si>
    <t>nakl-frviri-nar90</t>
  </si>
  <si>
    <t>nakl-frviri-vn90</t>
  </si>
  <si>
    <t>nakl-frviri-nar135</t>
  </si>
  <si>
    <t>nakl-frviri-vn135</t>
  </si>
  <si>
    <t>friz-vnay-pr</t>
  </si>
  <si>
    <t>friz-vnay-dug</t>
  </si>
  <si>
    <t>friz-vnay-obr</t>
  </si>
  <si>
    <t>nakl-frvnay-pram</t>
  </si>
  <si>
    <t>nakl-frvnay-nar90</t>
  </si>
  <si>
    <t>nakl-frvnay-vn90</t>
  </si>
  <si>
    <t>nakl-frvnay-nar135</t>
  </si>
  <si>
    <t>nakl-frvnay-vn135</t>
  </si>
  <si>
    <t>friz-vnik-pr</t>
  </si>
  <si>
    <t>friz-vnik-dug</t>
  </si>
  <si>
    <t>friz-vnik-obr</t>
  </si>
  <si>
    <t>nakl-frvnik-pram</t>
  </si>
  <si>
    <t>nakl-frvnik-nar90</t>
  </si>
  <si>
    <t>nakl-frvnik-vn90</t>
  </si>
  <si>
    <t>nakl-frvnik-nar135</t>
  </si>
  <si>
    <t>nakl-frvnik-vn135</t>
  </si>
  <si>
    <t>friz-vdio-pr</t>
  </si>
  <si>
    <t>friz-vdio-dug</t>
  </si>
  <si>
    <t>friz-vdio-obr</t>
  </si>
  <si>
    <t>nakl-frvdio-pram</t>
  </si>
  <si>
    <t>nakl-frvdio-nar90</t>
  </si>
  <si>
    <t>nakl-frvdio-vn90</t>
  </si>
  <si>
    <t>nakl-frvdio-nar135</t>
  </si>
  <si>
    <t>nakl-frvdio-vn135</t>
  </si>
  <si>
    <t>friz-vkan-pr</t>
  </si>
  <si>
    <t>friz-vkan-dug</t>
  </si>
  <si>
    <t>friz-vkan-obr</t>
  </si>
  <si>
    <t>nakl-frvkan-pram</t>
  </si>
  <si>
    <t>podfr-prem-pr</t>
  </si>
  <si>
    <t>podfr-prem-dug</t>
  </si>
  <si>
    <t>podfr-prem-obr</t>
  </si>
  <si>
    <t>nakl-podfr-prem-pr</t>
  </si>
  <si>
    <t>plnk-kal-klas30</t>
  </si>
  <si>
    <t>plnk-kal-klas60</t>
  </si>
  <si>
    <t>plnk-kal-klas80</t>
  </si>
  <si>
    <t>plnk-kal-klas100</t>
  </si>
  <si>
    <t>plnk-kal-klas116</t>
  </si>
  <si>
    <t>plnk-kal-klas146</t>
  </si>
  <si>
    <t>plnk-kal-klas177</t>
  </si>
  <si>
    <t>plnk-kalprfr-klas60</t>
  </si>
  <si>
    <t>plnk-kalprfr-klas100</t>
  </si>
  <si>
    <t>plnk-kalprfr-klas146</t>
  </si>
  <si>
    <t>plnk-kal-prem60</t>
  </si>
  <si>
    <t>plnk-kal-prem80</t>
  </si>
  <si>
    <t>plnk-kal-prem100</t>
  </si>
  <si>
    <t>plnk-kal-prem116</t>
  </si>
  <si>
    <t>plnk-kal-prem146</t>
  </si>
  <si>
    <t>plnk-kal-prem177</t>
  </si>
  <si>
    <t>plnk-kalprfr-prem60</t>
  </si>
  <si>
    <t>plnk-kalprfr-prem100</t>
  </si>
  <si>
    <t>plnk-kalprfr-prem146</t>
  </si>
  <si>
    <t>plnk-rust-prem30</t>
  </si>
  <si>
    <t>plnk-rust-prem60</t>
  </si>
  <si>
    <t>plnk-rust-prem80</t>
  </si>
  <si>
    <t>plnk-rust-prem100</t>
  </si>
  <si>
    <t>plnk-rust-prem116</t>
  </si>
  <si>
    <t>plnk-rust-prem146</t>
  </si>
  <si>
    <t>plnk-rust-prem177</t>
  </si>
  <si>
    <t>plnk-rust-mdr30</t>
  </si>
  <si>
    <t>plnk-rust-mdr60</t>
  </si>
  <si>
    <t>plnk-rust-mdr80</t>
  </si>
  <si>
    <t>plnk-rust-mdr100</t>
  </si>
  <si>
    <t>plnk-rust-mdr116</t>
  </si>
  <si>
    <t>plnk-rust-mdr146</t>
  </si>
  <si>
    <t>plnk-rust-mdr177</t>
  </si>
  <si>
    <t>plnk-rust-kpr30</t>
  </si>
  <si>
    <t>plnk-rust-kpr60</t>
  </si>
  <si>
    <t>plnk-rust-kpr80</t>
  </si>
  <si>
    <t>plnk-rust-kpr100</t>
  </si>
  <si>
    <t>plnk-rust-kpr116</t>
  </si>
  <si>
    <t>plnk-rust-kpr146</t>
  </si>
  <si>
    <t>plnk-rust-kpr177</t>
  </si>
  <si>
    <t>plnk-bkal-30</t>
  </si>
  <si>
    <t>plnk-bkal-60</t>
  </si>
  <si>
    <t>plnk-bkal-80</t>
  </si>
  <si>
    <t>plnk-bkal-100</t>
  </si>
  <si>
    <t>plnk-bkal-116</t>
  </si>
  <si>
    <t>plnk-bkal-146</t>
  </si>
  <si>
    <t>plnk-bkal-177</t>
  </si>
  <si>
    <t>plnk-kal-grn30</t>
  </si>
  <si>
    <t>plnk-kal-grn60</t>
  </si>
  <si>
    <t>plnk-kal-grn80</t>
  </si>
  <si>
    <t>plnk-kal-grn100</t>
  </si>
  <si>
    <t>plnk-kal-grn116</t>
  </si>
  <si>
    <t>plnk-kal-grn146</t>
  </si>
  <si>
    <t>plnk-kal-grn177</t>
  </si>
  <si>
    <t>plnk-1-120</t>
  </si>
  <si>
    <t>plnk-1-250</t>
  </si>
  <si>
    <t>plnk-3-120</t>
  </si>
  <si>
    <t>plnk-3-250</t>
  </si>
  <si>
    <t>plnk-fasfig2</t>
  </si>
  <si>
    <t>plnk-fasfig3</t>
  </si>
  <si>
    <t>nakl-metbar</t>
  </si>
  <si>
    <t>nakl-metpap</t>
  </si>
  <si>
    <t>nakl-metkle</t>
  </si>
  <si>
    <t>nakl-univer1</t>
  </si>
  <si>
    <t>nakl-univer2</t>
  </si>
  <si>
    <t>butl</t>
  </si>
  <si>
    <t>reika-perepl-vert</t>
  </si>
  <si>
    <t>reika-perepl-gor</t>
  </si>
  <si>
    <t>plnk-20х8</t>
  </si>
  <si>
    <t>plnk-16х8</t>
  </si>
  <si>
    <t>dekpl-frvklas</t>
  </si>
  <si>
    <t>dekpl-frvafr</t>
  </si>
  <si>
    <t>dekpl-frviri</t>
  </si>
  <si>
    <t>dekpl-frvnay</t>
  </si>
  <si>
    <t>dekpl-frvnik</t>
  </si>
  <si>
    <t>dekpl-frvdio</t>
  </si>
  <si>
    <t>pod-pr1</t>
  </si>
  <si>
    <t>pod-dug1</t>
  </si>
  <si>
    <t>pod-obr1</t>
  </si>
  <si>
    <t>pod-pr2</t>
  </si>
  <si>
    <t>pod-dug2</t>
  </si>
  <si>
    <t>pod-obr2</t>
  </si>
  <si>
    <t>vst-pod</t>
  </si>
  <si>
    <t>pod-klas-pr1</t>
  </si>
  <si>
    <t>pod-klas-dug1</t>
  </si>
  <si>
    <t>pod-klas-obr1</t>
  </si>
  <si>
    <t>pod-klas-pr2</t>
  </si>
  <si>
    <t>pod-klas-dug2</t>
  </si>
  <si>
    <t>pod-klas-obr2</t>
  </si>
  <si>
    <t>pod-afr-pr1</t>
  </si>
  <si>
    <t>pod-afr-dug1</t>
  </si>
  <si>
    <t>pod-afr-obr1</t>
  </si>
  <si>
    <t>pod-afr-pr2</t>
  </si>
  <si>
    <t>pod-afr-dug2</t>
  </si>
  <si>
    <t>pod-afr-obr2</t>
  </si>
  <si>
    <t>pod-iri-pr1</t>
  </si>
  <si>
    <t>pod-iri-dug1</t>
  </si>
  <si>
    <t>pod-iri-obr1</t>
  </si>
  <si>
    <t>pod-iri-pr2</t>
  </si>
  <si>
    <t>pod-iri-dug2</t>
  </si>
  <si>
    <t>pod-iri-obr2</t>
  </si>
  <si>
    <t>pod-nay-pr1</t>
  </si>
  <si>
    <t>pod-nay-dug1</t>
  </si>
  <si>
    <t>pod-nay-obr1</t>
  </si>
  <si>
    <t>pod-nay-pr2</t>
  </si>
  <si>
    <t>pod-nay-dug2</t>
  </si>
  <si>
    <t>pod-nay-obr2</t>
  </si>
  <si>
    <t>pod-nik-pr1</t>
  </si>
  <si>
    <t>pod-nik-dug1</t>
  </si>
  <si>
    <t>pod-nik-obr1</t>
  </si>
  <si>
    <t>pod-nik-pr2</t>
  </si>
  <si>
    <t>pod-nik-dug2</t>
  </si>
  <si>
    <t>pod-nik-obr2</t>
  </si>
  <si>
    <t>pod-dio-pr1</t>
  </si>
  <si>
    <t>pod-dio-dug1</t>
  </si>
  <si>
    <t>pod-dio-obr1</t>
  </si>
  <si>
    <t>pod-dio-pr2</t>
  </si>
  <si>
    <t>pod-dio-dug2</t>
  </si>
  <si>
    <t>pod-dio-obr2</t>
  </si>
  <si>
    <t>pod-cli-pr1</t>
  </si>
  <si>
    <t>pod-cli-dug1</t>
  </si>
  <si>
    <t>pod-cli-obr1</t>
  </si>
  <si>
    <t>pod-cli-pr2</t>
  </si>
  <si>
    <t>pod-cli-dug2</t>
  </si>
  <si>
    <t>pod-cli-obr2</t>
  </si>
  <si>
    <t>nozhpod-100*50*70</t>
  </si>
  <si>
    <t>nozhpod-120*50*70</t>
  </si>
  <si>
    <t>nozhpod-100*60*55</t>
  </si>
  <si>
    <t>nozhpod-120*60*55</t>
  </si>
  <si>
    <t>nozhpod-100*100*70</t>
  </si>
  <si>
    <t>nozhpod-120*100*70</t>
  </si>
  <si>
    <t>nakl-podprem1-pram</t>
  </si>
  <si>
    <t>nakl-podprem1-nar90</t>
  </si>
  <si>
    <t>nakl-podprem1-vn90</t>
  </si>
  <si>
    <t>nakl-podprem1-nar135</t>
  </si>
  <si>
    <t>nakl-podprem1-vn135</t>
  </si>
  <si>
    <t>nakl-podprem2-pram</t>
  </si>
  <si>
    <t>nakl-podprem2-nar90</t>
  </si>
  <si>
    <t>nakl-podprem2-vn90</t>
  </si>
  <si>
    <t>nakl-podprem2-nar135</t>
  </si>
  <si>
    <t>nakl-podprem2-vn135</t>
  </si>
  <si>
    <t>bal-8</t>
  </si>
  <si>
    <t>bal-12</t>
  </si>
  <si>
    <t>bal-dug</t>
  </si>
  <si>
    <t>bal-obr</t>
  </si>
  <si>
    <t>bal-ark</t>
  </si>
  <si>
    <t>vst-bal</t>
  </si>
  <si>
    <t>stmdf-shp-28-pram</t>
  </si>
  <si>
    <t>stmdf-shp-28-zakr</t>
  </si>
  <si>
    <t>stmdf-shp-28-rad</t>
  </si>
  <si>
    <t>stmdf-shp-28-lek</t>
  </si>
  <si>
    <t>stmdf-shp-19-pram</t>
  </si>
  <si>
    <t>stmdf-shp-19-zakr</t>
  </si>
  <si>
    <t>stmdf-shp-19-rad</t>
  </si>
  <si>
    <t>stmdf-shp-19-lek</t>
  </si>
  <si>
    <t>stmdf-shp-16-pram</t>
  </si>
  <si>
    <t>stmdf-shp-16-zakr</t>
  </si>
  <si>
    <t>stmdf-shp-16-rad</t>
  </si>
  <si>
    <t>stmdf-shp-16-lek</t>
  </si>
  <si>
    <t>stmdf-shp-10-pram</t>
  </si>
  <si>
    <t>stmdf-shp-10-zakr</t>
  </si>
  <si>
    <t>stmdf-shp-10-rad</t>
  </si>
  <si>
    <t>stmdf-shp-10-lek</t>
  </si>
  <si>
    <t>stmdf-shp-6-pram</t>
  </si>
  <si>
    <t>stmdf-shp-6-zakr</t>
  </si>
  <si>
    <t>stmdf-shp-6-rad</t>
  </si>
  <si>
    <t>stmdf-shp-6-lek</t>
  </si>
  <si>
    <t>oklad-prm28</t>
  </si>
  <si>
    <t>oklad-dug28</t>
  </si>
  <si>
    <t>oklad-obr28</t>
  </si>
  <si>
    <t>oklad-prm38</t>
  </si>
  <si>
    <t>oklad-dug38</t>
  </si>
  <si>
    <t>oklad-obr38</t>
  </si>
  <si>
    <t>stol-leon1-plkdio</t>
  </si>
  <si>
    <t>stol-leon1-plkafr</t>
  </si>
  <si>
    <t>stol-leon1-plkkls</t>
  </si>
  <si>
    <t>stol-leon1-plknik</t>
  </si>
  <si>
    <t>stol-leon1-plknai</t>
  </si>
  <si>
    <t>stol-leon1-plkiri</t>
  </si>
  <si>
    <t>stol-leon2-plkdio</t>
  </si>
  <si>
    <t>stol-leon2-plkafr</t>
  </si>
  <si>
    <t>stol-leon2-plkkls</t>
  </si>
  <si>
    <t>stol-leon2-plknik</t>
  </si>
  <si>
    <t>stol-leon2-plknai</t>
  </si>
  <si>
    <t>stol-leon2-plkiri</t>
  </si>
  <si>
    <t>stol-leon3-plkdio</t>
  </si>
  <si>
    <t>stol-leon3-plkafr</t>
  </si>
  <si>
    <t>stol-leon3-plkkls</t>
  </si>
  <si>
    <t>stol-leon3-plknik</t>
  </si>
  <si>
    <t>stol-leon3-plknai</t>
  </si>
  <si>
    <t>stol-leon3-plkiri</t>
  </si>
  <si>
    <t>stol-avinion1-plkdio</t>
  </si>
  <si>
    <t>stol-avinion1-plkafr</t>
  </si>
  <si>
    <t>stol-avinion1-plkkls</t>
  </si>
  <si>
    <t>stol-avinion1-plknik</t>
  </si>
  <si>
    <t>stol-avinion1-plknai</t>
  </si>
  <si>
    <t>stol-avinion1-plkiri</t>
  </si>
  <si>
    <t>stol-avinion2-plkdio</t>
  </si>
  <si>
    <t>stol-avinion2-plkafr</t>
  </si>
  <si>
    <t>stol-avinion2-plkkls</t>
  </si>
  <si>
    <t>stol-avinion2-plknik</t>
  </si>
  <si>
    <t>stol-avinion2-plknai</t>
  </si>
  <si>
    <t>stol-avinion2-plkiri</t>
  </si>
  <si>
    <t>stol-avinion3-plkdio</t>
  </si>
  <si>
    <t>stol-avinion3-plkafr</t>
  </si>
  <si>
    <t>stol-avinion3-plkkls</t>
  </si>
  <si>
    <t>stol-avinion3-plknik</t>
  </si>
  <si>
    <t>stol-avinion3-plknai</t>
  </si>
  <si>
    <t>stol-avinion3-plkiri</t>
  </si>
  <si>
    <t>stul-ita</t>
  </si>
  <si>
    <t>stul-ita-k</t>
  </si>
  <si>
    <t>stul-lana</t>
  </si>
  <si>
    <t>dek-panel-volna</t>
  </si>
  <si>
    <t>dek-panel-plama</t>
  </si>
  <si>
    <t>dek-panel-trost</t>
  </si>
  <si>
    <t>dek-panel-hvoia</t>
  </si>
  <si>
    <t>resh</t>
  </si>
  <si>
    <t>op-toch-70</t>
  </si>
  <si>
    <t xml:space="preserve">Цена </t>
  </si>
  <si>
    <t>Рамка- массив, филенка- шпон</t>
  </si>
  <si>
    <t xml:space="preserve">Прайс- лист на мебельные фасады и комплектующие по индивидуальным размерам        </t>
  </si>
  <si>
    <t>Реечный 60</t>
  </si>
  <si>
    <t>Реечный 102</t>
  </si>
  <si>
    <t>Реечный 102 с импостом 1</t>
  </si>
  <si>
    <t>Реечный 102 с импостом 2</t>
  </si>
  <si>
    <t>Ящичная накладка Адель 60</t>
  </si>
  <si>
    <t>Опора "Папоротник 146"</t>
  </si>
  <si>
    <t>Опора "Папоротник 177"</t>
  </si>
  <si>
    <t>Опора "Папоротник без подиума 146"</t>
  </si>
  <si>
    <t>Опора ''Барокко 146''</t>
  </si>
  <si>
    <t>Опора ''Барокко 177''</t>
  </si>
  <si>
    <t>Опора ''Барокко без подиума 146''</t>
  </si>
  <si>
    <t>Планка с рустом Премиум 50мм</t>
  </si>
  <si>
    <t>Планка с рустом Модерн 50мм</t>
  </si>
  <si>
    <t>Планка с рустом Капри 50мм</t>
  </si>
  <si>
    <t>Планка без калевки 50мм</t>
  </si>
  <si>
    <t>Накладка на бутылочницу Папоротник 196</t>
  </si>
  <si>
    <t>Накладка на бутылочницу Клеопатра 196</t>
  </si>
  <si>
    <t>Накладка на бутылочницу Барокко 196</t>
  </si>
  <si>
    <t>Покраска по RAL (не менее 1750 руб.)</t>
  </si>
  <si>
    <t>Услуги</t>
  </si>
  <si>
    <t>Вклейка прямого стекла со штапиком</t>
  </si>
  <si>
    <t>Порто</t>
  </si>
  <si>
    <t>Родос</t>
  </si>
  <si>
    <t>Брионе</t>
  </si>
  <si>
    <t>Фриз Клио прямой верхний</t>
  </si>
  <si>
    <t>Фриз Клио дуговой верхний</t>
  </si>
  <si>
    <t>Фриз Клио дуговой обратный верхний</t>
  </si>
  <si>
    <t>Накладка на фриз верхний Клио прямая</t>
  </si>
  <si>
    <t>Накладка на фриз верхний Клио наружн. угол 90</t>
  </si>
  <si>
    <t>Накладка на фриз верхний Клио внутр. угол 90</t>
  </si>
  <si>
    <t>Накладка на фриз верхний Клио наружн. угол 135</t>
  </si>
  <si>
    <t>Накладка на фриз верхний Клио внутр. угол 135</t>
  </si>
  <si>
    <t>Планка с рустом Премиум 200мм</t>
  </si>
  <si>
    <t>Планка с рустом Модерн 200мм</t>
  </si>
  <si>
    <t>Планка с рустом Капри 200мм</t>
  </si>
  <si>
    <t>Планка угловая 45*45 Классика</t>
  </si>
  <si>
    <t>Планка угловая 45*45 Премиум</t>
  </si>
  <si>
    <t>Планка угловая 45*45 Капри</t>
  </si>
  <si>
    <t>Дуб</t>
  </si>
  <si>
    <t>Фрезеровка пласти (полосы)</t>
  </si>
  <si>
    <t>Аннет</t>
  </si>
  <si>
    <t xml:space="preserve">Дуговой с филенкой </t>
  </si>
  <si>
    <t>Дугововая ящ. накладка</t>
  </si>
  <si>
    <t>шт.</t>
  </si>
  <si>
    <t>Лацио</t>
  </si>
  <si>
    <t>С филенкой/ручка</t>
  </si>
  <si>
    <t>Под стекло/ручка</t>
  </si>
  <si>
    <t>Комо</t>
  </si>
  <si>
    <t>Денвер</t>
  </si>
  <si>
    <t>Клио имитация яс.</t>
  </si>
  <si>
    <t>Наяда имитация яс.</t>
  </si>
  <si>
    <t>Дуговая ящ. Накладка</t>
  </si>
  <si>
    <t>Ирида имитация яс.</t>
  </si>
  <si>
    <t>Афродита имитация яс.</t>
  </si>
  <si>
    <t>С импостом</t>
  </si>
  <si>
    <t>Ящичная накладка 50</t>
  </si>
  <si>
    <t>Колонна "Патриция 60"</t>
  </si>
  <si>
    <t>Колонна "Пирамида 50"</t>
  </si>
  <si>
    <t>Опора "Афина 196"</t>
  </si>
  <si>
    <t>Опора "Лилия 146"</t>
  </si>
  <si>
    <t>Опора "Папоротник 120"</t>
  </si>
  <si>
    <t>Опора "Папоротник без подиума 120"</t>
  </si>
  <si>
    <t>Опора "Папоротник 120-2"</t>
  </si>
  <si>
    <t>Опора ''Барокко 102''</t>
  </si>
  <si>
    <t>Опора ''Барокко без подиума 102''</t>
  </si>
  <si>
    <t>Опора ''Барокко 102-2''</t>
  </si>
  <si>
    <t>Опора "Клеопатра 146"</t>
  </si>
  <si>
    <t>Опора "Патриция 146"</t>
  </si>
  <si>
    <t>Опора "Фрея" верхняя 296</t>
  </si>
  <si>
    <t>Накладка  «Магнолия» (200х150)</t>
  </si>
  <si>
    <t>Подфризовая планка с декором</t>
  </si>
  <si>
    <t>Подфризовая планка с декором дуг.</t>
  </si>
  <si>
    <t>Подфризовая планка с декором дуговая обратная</t>
  </si>
  <si>
    <t>Накладка на подфризовую планку с декором прямая</t>
  </si>
  <si>
    <t>Подфризовая планка без декора</t>
  </si>
  <si>
    <t>Подфризовая планка без декора дуг.</t>
  </si>
  <si>
    <t>Подфризовая планка без декора дуговая обратная</t>
  </si>
  <si>
    <t>Накладка на подфризовую планку без декора прямая</t>
  </si>
  <si>
    <t>Планка Классика 30мм</t>
  </si>
  <si>
    <t>Планка Классика 60мм</t>
  </si>
  <si>
    <t>Планка Классика 50мм</t>
  </si>
  <si>
    <t>Планка Классика 100мм</t>
  </si>
  <si>
    <t>Планка Классика 116мм</t>
  </si>
  <si>
    <t>Планка  Классика 146мм</t>
  </si>
  <si>
    <t>Планка Классика 177мм</t>
  </si>
  <si>
    <t>Планка Классика 80мм</t>
  </si>
  <si>
    <t>Планка с фрезеровкой Классика 60мм</t>
  </si>
  <si>
    <t>Планка с фрезеровкой Классика 146мм</t>
  </si>
  <si>
    <t>Планка с фрезеровкой Классика 100мм</t>
  </si>
  <si>
    <t>Планка Премиум 60мм</t>
  </si>
  <si>
    <t>Планка Премиум 100мм</t>
  </si>
  <si>
    <t>Планка Премиум 80мм</t>
  </si>
  <si>
    <t>Планка Премиум 116мм</t>
  </si>
  <si>
    <t>Планка Премиум 146мм</t>
  </si>
  <si>
    <t>Планка Премиум 177мм</t>
  </si>
  <si>
    <t>Планка с фрезеровкой Премиум 60мм</t>
  </si>
  <si>
    <t>Планка с фрезеровкой Премиум 100мм</t>
  </si>
  <si>
    <t>Планка с фрезеровкой Премиум 146мм</t>
  </si>
  <si>
    <t>Планка Гранада 30мм</t>
  </si>
  <si>
    <t>Планка Гранада 50мм</t>
  </si>
  <si>
    <t>Планка Гранада 80мм</t>
  </si>
  <si>
    <t>Планка Гранада 60мм</t>
  </si>
  <si>
    <t>Планка Гранада 100мм</t>
  </si>
  <si>
    <t>Планка Гранада 116мм</t>
  </si>
  <si>
    <t>Планка Гранада 146мм</t>
  </si>
  <si>
    <t>Планка Гранада 177мм</t>
  </si>
  <si>
    <t>Вставка для подиума простого 120</t>
  </si>
  <si>
    <t>Вставка для подиума простого 100</t>
  </si>
  <si>
    <t>Морилка специальная</t>
  </si>
  <si>
    <t>Вклейка молдинга золото</t>
  </si>
  <si>
    <t>Вклейка молдинга серебро</t>
  </si>
  <si>
    <t>Морилка светлая</t>
  </si>
  <si>
    <t>Присадка под петли 35мм</t>
  </si>
  <si>
    <t>Срок изготовления фасадов — 40-45 рабочих дней </t>
  </si>
  <si>
    <t>Фасадов Ильвенто - 40-45 рабочих дней</t>
  </si>
  <si>
    <t>Срок производства некрашеных фасадов 20-25 рабочих дней</t>
  </si>
  <si>
    <t>Кафедрал</t>
  </si>
  <si>
    <t>Риббед Гласс</t>
  </si>
  <si>
    <t>Стопсол Грей</t>
  </si>
  <si>
    <t>Шелби</t>
  </si>
  <si>
    <t>Цена планки угловой 45*45 указана для высоты до 960мм. Для высот: 961 - 1500мм и 1501 - 2700мм цена увеличивается на 10 и 20% соответственно</t>
  </si>
  <si>
    <t>из массива ясеня, бука, дуба и мдф "БОРА"</t>
  </si>
  <si>
    <t>Каталог BORA fasad</t>
  </si>
  <si>
    <t>Лаурина</t>
  </si>
  <si>
    <t>Фасад без ручки</t>
  </si>
  <si>
    <t>Фасад с ручкой</t>
  </si>
  <si>
    <t>Парма (МДФ+ Шпон)</t>
  </si>
  <si>
    <t>Опора "Магнолия 100 -  8 цветков"</t>
  </si>
  <si>
    <t>Опора с фрезеровкой</t>
  </si>
  <si>
    <t>Цены указаны для колонн высотой до 960мм. Для высот: 961 - 1800мм и 1801 - 2700мм цена увеличивается на 10 и 20% соответственно</t>
  </si>
  <si>
    <t>Цены указаны для опор высотой до 960мм. Для высот: 961 - 1800мм и 1801 - 2700мм цена увеличивается на 10 и 20% соответственно</t>
  </si>
  <si>
    <t>Накладка  «Магнолия» (250х150)</t>
  </si>
  <si>
    <t>Накладка на фриз нижний без.цв. наружн. угол 90</t>
  </si>
  <si>
    <t>Накладка на фриз нижний без.цв. наружн. угол 135</t>
  </si>
  <si>
    <t>Накладка на фриз нижний без.цв. внутр. угол 90</t>
  </si>
  <si>
    <t>Накладка на фриз нижний без.цв. внутр. угол 135</t>
  </si>
  <si>
    <t>Накладка на фриз нижний без.цв. прямая</t>
  </si>
  <si>
    <t>Фриз нижний Премиум</t>
  </si>
  <si>
    <t>База для фриза Премиум прямая верхняя 2.0м</t>
  </si>
  <si>
    <t>База для фриза Премиум прямая верхняя 2.4м</t>
  </si>
  <si>
    <t>База для фриза Премиум дуговая верхняя</t>
  </si>
  <si>
    <t>База для фриза Премиум дуговая обратная верхняя</t>
  </si>
  <si>
    <t>Базы для фриза верхнего Премиум (Классика, Афродита, Ирида, Наяда, Ника)</t>
  </si>
  <si>
    <t>Планка Капри 30мм</t>
  </si>
  <si>
    <t>Планка Капри 50мм</t>
  </si>
  <si>
    <t>Планка Капри 60мм</t>
  </si>
  <si>
    <t>Планка Капри 80мм</t>
  </si>
  <si>
    <t>Планка Капри 100мм</t>
  </si>
  <si>
    <t>Планка Капри 116мм</t>
  </si>
  <si>
    <t>Планка Капри 146мм</t>
  </si>
  <si>
    <t>Планка Капри 177мм</t>
  </si>
  <si>
    <t>Планка Родос 30</t>
  </si>
  <si>
    <t>Планка Родос 50</t>
  </si>
  <si>
    <t>Планка Родос 70</t>
  </si>
  <si>
    <t>Планка Родос 100</t>
  </si>
  <si>
    <t>Уголок 716x38x38</t>
  </si>
  <si>
    <t>Уголок 716x38x83</t>
  </si>
  <si>
    <t>Уголок 716x83x83</t>
  </si>
  <si>
    <t>Уголок 716x88x88</t>
  </si>
  <si>
    <t>Уголок 956x38x38</t>
  </si>
  <si>
    <t>Уголок 956x38x83</t>
  </si>
  <si>
    <t>Уголок 956x83x83</t>
  </si>
  <si>
    <t>Уголок 356x38x38</t>
  </si>
  <si>
    <t>Планка торцевая 20х8</t>
  </si>
  <si>
    <t>Планка торцевая 16х8</t>
  </si>
  <si>
    <t>Филенка Классика арка</t>
  </si>
  <si>
    <t>Филенка Классика прямая</t>
  </si>
  <si>
    <t>Филенка Премиум</t>
  </si>
  <si>
    <t>Филенка плоская</t>
  </si>
  <si>
    <t>Вставка панель шпон</t>
  </si>
  <si>
    <t>МДФ+шпон 22 мм Прямая</t>
  </si>
  <si>
    <t>МДФ+шпон 22 мм Радиусная</t>
  </si>
  <si>
    <t>МДФ+шпон 22 мм Лекальная</t>
  </si>
  <si>
    <t>Максимальный размер МДФ = 2700*1200</t>
  </si>
  <si>
    <t>Золотой шнур</t>
  </si>
  <si>
    <t>Серебряный шнур</t>
  </si>
  <si>
    <t>Штапик для фасадов с переплетом</t>
  </si>
  <si>
    <t>Штапик для фасадов под стекло</t>
  </si>
  <si>
    <t>Штапик дуговой для фасадов под стекло</t>
  </si>
  <si>
    <t>Изготовление нестандарта</t>
  </si>
  <si>
    <t>Вальмовка шпоном 38мм</t>
  </si>
  <si>
    <t>Фрезеровка</t>
  </si>
  <si>
    <t>Скругление углов</t>
  </si>
  <si>
    <t>Витражи пленочные</t>
  </si>
  <si>
    <t>А1 плоск. прост</t>
  </si>
  <si>
    <t>A1 дуг. прост</t>
  </si>
  <si>
    <t>A1 плоск. тон</t>
  </si>
  <si>
    <t>A1 дуг. тон.</t>
  </si>
  <si>
    <t>А2 плоск. прост</t>
  </si>
  <si>
    <t>A2 дуг. прост.</t>
  </si>
  <si>
    <t>A2 плоск. тон</t>
  </si>
  <si>
    <t>A2 дуг. тон.</t>
  </si>
  <si>
    <t>A3 плоск. прост. имитация</t>
  </si>
  <si>
    <t>A3 плоск. прост. кристалл</t>
  </si>
  <si>
    <t>A3 дуг. прост. имитация</t>
  </si>
  <si>
    <t>A3 дуг. прост. кристалл</t>
  </si>
  <si>
    <t>A3 плоск. тон. имитация</t>
  </si>
  <si>
    <t>A3 плоск. тон. кристалл</t>
  </si>
  <si>
    <t>A3 дуг. тон. имитация</t>
  </si>
  <si>
    <t>A3 дуг. тон. кристалл</t>
  </si>
  <si>
    <t>A5 плоск. прост. имитация</t>
  </si>
  <si>
    <t>A5 плоск. прост. кристалл</t>
  </si>
  <si>
    <t>A5 дуг. прост. имитация</t>
  </si>
  <si>
    <t>A5 дуг. прост. кристалл</t>
  </si>
  <si>
    <t>A5 плоск. тон. имитация</t>
  </si>
  <si>
    <t>A5 плоск. тон. кристалл</t>
  </si>
  <si>
    <t>A5 дуг. тон. имитация</t>
  </si>
  <si>
    <t>A5 дуг. тон. кристалл</t>
  </si>
  <si>
    <t>A6 плоск. прост. имитация</t>
  </si>
  <si>
    <t>A6 плоск. прост. кристалл</t>
  </si>
  <si>
    <t>A6 дуг. прост. имитация</t>
  </si>
  <si>
    <t>A6 дуг. прост. кристалл</t>
  </si>
  <si>
    <t>A6 плоск. тон. имитация</t>
  </si>
  <si>
    <t>A6 плоск. тон. кристалл</t>
  </si>
  <si>
    <t>A6 дуг. тон. имитация</t>
  </si>
  <si>
    <t>A6 дуг. тон. кристалл</t>
  </si>
  <si>
    <t>A7 плоск. прост. кристалл</t>
  </si>
  <si>
    <t>A7 дуг. прост. имитация</t>
  </si>
  <si>
    <t>A7 дуг. прост. кристалл</t>
  </si>
  <si>
    <t>A7 плоск. тон. кристалл</t>
  </si>
  <si>
    <t>A7 дуг. тон. имитация</t>
  </si>
  <si>
    <t>A7 дуг. тон. кристалл</t>
  </si>
  <si>
    <t>Весна плоск. прост</t>
  </si>
  <si>
    <t>Весна дуг. прост.</t>
  </si>
  <si>
    <t>Весна плоск. тон</t>
  </si>
  <si>
    <t>Весна дуг. тон.</t>
  </si>
  <si>
    <t>Веточка плоск. прост</t>
  </si>
  <si>
    <t>Веточка дуг. прост.</t>
  </si>
  <si>
    <t>Веточка плоск. тон</t>
  </si>
  <si>
    <t>Веточка дуг. тон.</t>
  </si>
  <si>
    <t>Звезда плоск. прост</t>
  </si>
  <si>
    <t>Звезда дуг. прост.</t>
  </si>
  <si>
    <t>Звезда плоск. тон</t>
  </si>
  <si>
    <t>Звезда дуг. тон.</t>
  </si>
  <si>
    <t>Квартет плоск. прост</t>
  </si>
  <si>
    <t>Квартет дуг. прост.</t>
  </si>
  <si>
    <t>Квартет плоск. тон</t>
  </si>
  <si>
    <t>Квартет дуг. тон.</t>
  </si>
  <si>
    <t>Квартет 2 плоск. прост</t>
  </si>
  <si>
    <t>Квартет 2 дуг. прост.</t>
  </si>
  <si>
    <t>Квартет 2 плоск. тон</t>
  </si>
  <si>
    <t>Квартет 2 дуг. тон.</t>
  </si>
  <si>
    <t>Корона плоск. прост</t>
  </si>
  <si>
    <t>Корона дуг. прост.</t>
  </si>
  <si>
    <t>Корона плоск. тон</t>
  </si>
  <si>
    <t>Корона дуг. тон.</t>
  </si>
  <si>
    <t>Корона Б плоск. прост</t>
  </si>
  <si>
    <t>Корона Б дуг. прост.</t>
  </si>
  <si>
    <t>Корона Б плоск. тон</t>
  </si>
  <si>
    <t>Корона Б дуг. тон.</t>
  </si>
  <si>
    <t>Магнолия плоск. прост</t>
  </si>
  <si>
    <t>Магнолия дуг. прост.</t>
  </si>
  <si>
    <t>Магнолия плоск. тон</t>
  </si>
  <si>
    <t>Магнолия дуг. тон.</t>
  </si>
  <si>
    <t>Мария плоск. прост</t>
  </si>
  <si>
    <t>Мария дуг. прост.</t>
  </si>
  <si>
    <t>Мария плоск. тон</t>
  </si>
  <si>
    <t>Мария дуг. тон.</t>
  </si>
  <si>
    <t>Овал плоск. прост</t>
  </si>
  <si>
    <t>Овал дуг. прост.</t>
  </si>
  <si>
    <t>Овал плоск. тон</t>
  </si>
  <si>
    <t>Овал дуг. тон.</t>
  </si>
  <si>
    <t>Фонтан плоск. прост</t>
  </si>
  <si>
    <t>Фонтан дуг. прост.</t>
  </si>
  <si>
    <t>Фонтан плоск. тон</t>
  </si>
  <si>
    <t>Фонтан дуг. тон.</t>
  </si>
  <si>
    <t>Эдем плоск. прост</t>
  </si>
  <si>
    <t>Эдем дуг. прост.</t>
  </si>
  <si>
    <t>Эдем плоск. тон</t>
  </si>
  <si>
    <t>Эдем дуг. тон.</t>
  </si>
  <si>
    <t>Эдем 2 плоск. прост</t>
  </si>
  <si>
    <t>Эдем 2 дуг. прост.</t>
  </si>
  <si>
    <t>Эдем 2 плоск. тон</t>
  </si>
  <si>
    <t>Эдем 2 дуг. тон.</t>
  </si>
  <si>
    <t>Витражи заливные</t>
  </si>
  <si>
    <t>Атмосфера-К дуг. мат прост</t>
  </si>
  <si>
    <t>Атмосфера-К дуг. мат тон</t>
  </si>
  <si>
    <t>Атмосфера-К дуг. прост</t>
  </si>
  <si>
    <t>Атмосфера-К дуг. тон</t>
  </si>
  <si>
    <t>Атмосфера-К плоск. мат прост</t>
  </si>
  <si>
    <t>Атмосфера-К плоск. мат тон</t>
  </si>
  <si>
    <t>Атмосфера-К плоск. прост</t>
  </si>
  <si>
    <t>Атмосфера-К плоск. тон</t>
  </si>
  <si>
    <t>Атмосфера-М плоск. мат прост</t>
  </si>
  <si>
    <t>Атмосфера-М плоск. мат тон</t>
  </si>
  <si>
    <t>Атмосфера-М плоск. прост</t>
  </si>
  <si>
    <t>Атмосфера-М плоск. тон</t>
  </si>
  <si>
    <t>Атмосфера-ПР дуг. мат прост</t>
  </si>
  <si>
    <t>Атмосфера-ПР дуг. мат тон</t>
  </si>
  <si>
    <t>Атмосфера-ПР дуг. прост</t>
  </si>
  <si>
    <t>Атмосфера-ПР дуг. тон</t>
  </si>
  <si>
    <t>Атмосфера-ПР плоск. мат прост</t>
  </si>
  <si>
    <t>Атмосфера-ПР плоск. мат тон</t>
  </si>
  <si>
    <t>Атмосфера-ПР плоск. прост</t>
  </si>
  <si>
    <t>Атмосфера-ПР плоск. тон</t>
  </si>
  <si>
    <t>Бамбук-К дуг. мат прост</t>
  </si>
  <si>
    <t>Бамбук-К дуг. мат тон</t>
  </si>
  <si>
    <t>Бамбук-К дуг. прост</t>
  </si>
  <si>
    <t>Бамбук-К дуг. тон</t>
  </si>
  <si>
    <t>Бамбук-К плоск. мат прост</t>
  </si>
  <si>
    <t>Бамбук-К плоск. мат тон</t>
  </si>
  <si>
    <t>Бамбук-К плоск. прост</t>
  </si>
  <si>
    <t>Бамбук-К плоск. тон</t>
  </si>
  <si>
    <t>Бамбук-М плоск. мат прост</t>
  </si>
  <si>
    <t>Бамбук-М плоск. мат тон</t>
  </si>
  <si>
    <t>Бамбук-М плоск. прост</t>
  </si>
  <si>
    <t>Бамбук-М плоск. тон</t>
  </si>
  <si>
    <t>Бамбук-ПР плоск. мат прост</t>
  </si>
  <si>
    <t>Бамбук-ПР плоск. мат тон</t>
  </si>
  <si>
    <t>Бамбук-ПР плоск. прост</t>
  </si>
  <si>
    <t>Бамбук-ПР плоск. тон</t>
  </si>
  <si>
    <t>Валенсия-К дуг. мат прост</t>
  </si>
  <si>
    <t>Валенсия-К дуг. мат тон</t>
  </si>
  <si>
    <t>Валенсия-К дуг. прост</t>
  </si>
  <si>
    <t>Валенсия-К дуг. тон</t>
  </si>
  <si>
    <t>Валенсия-К плоск. мат прост</t>
  </si>
  <si>
    <t>Валенсия-К плоск. мат тон</t>
  </si>
  <si>
    <t>Валенсия-К плоск. прост</t>
  </si>
  <si>
    <t>Валенсия-К плоск. тон</t>
  </si>
  <si>
    <t>Валенсия-М плоск. мат прост</t>
  </si>
  <si>
    <t>Валенсия-М плоск. мат тон</t>
  </si>
  <si>
    <t>Валенсия-М плоск. прост</t>
  </si>
  <si>
    <t>Валенсия-М плоск. тон</t>
  </si>
  <si>
    <t>Валенсия-ПР дуг. мат прост</t>
  </si>
  <si>
    <t>Валенсия-ПР дуг. мат тон</t>
  </si>
  <si>
    <t>Валенсия-ПР дуг. прост</t>
  </si>
  <si>
    <t>Валенсия-ПР дуг. тон</t>
  </si>
  <si>
    <t>Валенсия-ПР плоск. мат прост</t>
  </si>
  <si>
    <t>Валенсия-ПР плоск. мат тон</t>
  </si>
  <si>
    <t>Валенсия-ПР плоск. прост</t>
  </si>
  <si>
    <t>Валенсия-ПР плоск. тон</t>
  </si>
  <si>
    <t>Венера-К дуг. мат прост</t>
  </si>
  <si>
    <t>Венера-К дуг. мат тон</t>
  </si>
  <si>
    <t>Венера-К дуг. прост</t>
  </si>
  <si>
    <t>Венера-К дуг. тон</t>
  </si>
  <si>
    <t>Венера-К плоск. мат прост</t>
  </si>
  <si>
    <t>Венера-К плоск. мат тон</t>
  </si>
  <si>
    <t>Венера-К плоск. прост</t>
  </si>
  <si>
    <t>Венера-К плоск. тон</t>
  </si>
  <si>
    <t>Венера-М плоск. мат прост</t>
  </si>
  <si>
    <t>Венера-М плоск. мат тон</t>
  </si>
  <si>
    <t>Венера-М плоск. прост</t>
  </si>
  <si>
    <t>Венера-М плоск. тон</t>
  </si>
  <si>
    <t>Венера-П плоск. мат прост</t>
  </si>
  <si>
    <t>Венера-П плоск. мат тон</t>
  </si>
  <si>
    <t>Венера-П плоск. прост</t>
  </si>
  <si>
    <t>Венера-П плоск. тон</t>
  </si>
  <si>
    <t>Венера-Ц плоск. мат прост</t>
  </si>
  <si>
    <t>Венера-Ц плоск. мат тон</t>
  </si>
  <si>
    <t>Венера-Ц плоск. прост</t>
  </si>
  <si>
    <t>Венера-Ц плоск. тон</t>
  </si>
  <si>
    <t>Венеция-К дуг. мат прост</t>
  </si>
  <si>
    <t>Венеция-К дуг. мат тон</t>
  </si>
  <si>
    <t>Венеция-К дуг. прост</t>
  </si>
  <si>
    <t>Венеция-К дуг. тон</t>
  </si>
  <si>
    <t>Венеция-К плоск. мат прост</t>
  </si>
  <si>
    <t>Венеция-К плоск. мат тон</t>
  </si>
  <si>
    <t>Венеция-К плоск. прост</t>
  </si>
  <si>
    <t>Венеция-К плоск. тон</t>
  </si>
  <si>
    <t>Венеция-М плоск. мат прост</t>
  </si>
  <si>
    <t>Венеция-М плоск. мат тон</t>
  </si>
  <si>
    <t>Венеция-М плоск. прост</t>
  </si>
  <si>
    <t>Венеция-М плоск. тон</t>
  </si>
  <si>
    <t>Венеция-П плоск. мат прост</t>
  </si>
  <si>
    <t>Венеция-П плоск. мат тон</t>
  </si>
  <si>
    <t>Венеция-П плоск. прост</t>
  </si>
  <si>
    <t>Венеция-П плоск. тон</t>
  </si>
  <si>
    <t>Венеция-Ц плоск. мат прост</t>
  </si>
  <si>
    <t>Венеция-Ц плоск. мат тон</t>
  </si>
  <si>
    <t>Венеция-Ц плоск. прост</t>
  </si>
  <si>
    <t>Венеция-Ц плоск. тон</t>
  </si>
  <si>
    <t>Виноград-К дуг. мат прост</t>
  </si>
  <si>
    <t>Виноград-К дуг. мат тон</t>
  </si>
  <si>
    <t>Виноград-К дуг. прост</t>
  </si>
  <si>
    <t>Виноград-К дуг. тон</t>
  </si>
  <si>
    <t>Виноград-К плоск. мат прост</t>
  </si>
  <si>
    <t>Виноград-К плоск. мат тон</t>
  </si>
  <si>
    <t>Виноград-К плоск. прост</t>
  </si>
  <si>
    <t>Виноград-К плоск. тон</t>
  </si>
  <si>
    <t>Виноград-М плоск. мат прост</t>
  </si>
  <si>
    <t>Виноград-М плоск. мат тон</t>
  </si>
  <si>
    <t>Виноград-М плоск. прост</t>
  </si>
  <si>
    <t>Виноград-М плоск. тон</t>
  </si>
  <si>
    <t>Виноград-П плоск. мат прост</t>
  </si>
  <si>
    <t>Виноград-П плоск. мат тон</t>
  </si>
  <si>
    <t>Виноград-П плоск. прост</t>
  </si>
  <si>
    <t>Виноград-П плоск. тон</t>
  </si>
  <si>
    <t>Виноград-Ц плоск. мат прост</t>
  </si>
  <si>
    <t>Виноград-Ц плоск. мат тон</t>
  </si>
  <si>
    <t>Виноград-Ц плоск. прост</t>
  </si>
  <si>
    <t>Виноград-Ц плоск. тон</t>
  </si>
  <si>
    <t>Восток-К дуг. мат прост</t>
  </si>
  <si>
    <t>Восток-К дуг. мат тон</t>
  </si>
  <si>
    <t>Восток-К дуг. прост</t>
  </si>
  <si>
    <t>Восток-К дуг. тон</t>
  </si>
  <si>
    <t>Восток-К плоск. мат прост</t>
  </si>
  <si>
    <t>Восток-К плоск. мат тон</t>
  </si>
  <si>
    <t>Восток-К плоск. прост</t>
  </si>
  <si>
    <t>Восток-К плоск. тон</t>
  </si>
  <si>
    <t>Восток-М плоск. мат прост</t>
  </si>
  <si>
    <t>Восток-М плоск. мат тон</t>
  </si>
  <si>
    <t>Восток-М плоск. прост</t>
  </si>
  <si>
    <t>Восток-М плоск. тон</t>
  </si>
  <si>
    <t>Восток-П дуг. мат прост</t>
  </si>
  <si>
    <t>Восток-П дуг. мат тон</t>
  </si>
  <si>
    <t>Восток-П дуг. прост</t>
  </si>
  <si>
    <t>Восток-П дуг. тон</t>
  </si>
  <si>
    <t>Восток-П плоск. мат прост</t>
  </si>
  <si>
    <t>Восток-П плоск. мат тон</t>
  </si>
  <si>
    <t>Восток-П плоск. прост</t>
  </si>
  <si>
    <t>Восток-П плоск. тон</t>
  </si>
  <si>
    <t>Восток-ПРФ дуг. мат прост</t>
  </si>
  <si>
    <t>Восток-ПРФ дуг. мат тон</t>
  </si>
  <si>
    <t>Восток-ПРФ дуг. прост</t>
  </si>
  <si>
    <t>Восток-ПРФ дуг. тон</t>
  </si>
  <si>
    <t>Восток-ПРФ плоск. мат прост</t>
  </si>
  <si>
    <t>Восток-ПРФ плоск. мат тон</t>
  </si>
  <si>
    <t>Восток-ПРФ плоск. прост</t>
  </si>
  <si>
    <t>Восток-ПРФ плоск. тон</t>
  </si>
  <si>
    <t>Восход-К дуг. мат прост</t>
  </si>
  <si>
    <t>Восход-К дуг. мат тон</t>
  </si>
  <si>
    <t>Восход-К дуг. прост</t>
  </si>
  <si>
    <t>Восход-К дуг. тон</t>
  </si>
  <si>
    <t>Восход-К плоск. мат прост</t>
  </si>
  <si>
    <t>Восход-К плоск. мат тон</t>
  </si>
  <si>
    <t>Восход-К плоск. прост</t>
  </si>
  <si>
    <t>Восход-К плоск. тон</t>
  </si>
  <si>
    <t>Восход-КФ дуг. мат прост</t>
  </si>
  <si>
    <t>Восход-КФ дуг. мат тон</t>
  </si>
  <si>
    <t>Восход-КФ дуг. прост</t>
  </si>
  <si>
    <t>Восход-КФ дуг. тон</t>
  </si>
  <si>
    <t>Восход-КФ плоск. мат прост</t>
  </si>
  <si>
    <t>Восход-КФ плоск. мат тон</t>
  </si>
  <si>
    <t>Восход-КФ плоск. прост</t>
  </si>
  <si>
    <t>Восход-КФ плоск. тон</t>
  </si>
  <si>
    <t>Восход-М плоск. мат прост</t>
  </si>
  <si>
    <t>Восход-М плоск. мат тон</t>
  </si>
  <si>
    <t>Восход-М плоск. прост</t>
  </si>
  <si>
    <t>Восход-М плоск. тон</t>
  </si>
  <si>
    <t>Восход-П дуг. мат прост</t>
  </si>
  <si>
    <t>Восход-П дуг. мат тон</t>
  </si>
  <si>
    <t>Восход-П дуг. прост</t>
  </si>
  <si>
    <t>Восход-П дуг. тон</t>
  </si>
  <si>
    <t>Восход-П плоск. мат прост</t>
  </si>
  <si>
    <t>Восход-П плоск. мат тон</t>
  </si>
  <si>
    <t>Восход-П плоск. прост</t>
  </si>
  <si>
    <t>Восход-П плоск. тон</t>
  </si>
  <si>
    <t>Геометрия-К дуг. мат прост</t>
  </si>
  <si>
    <t>Геометрия-К дуг. мат тон</t>
  </si>
  <si>
    <t>Геометрия-К дуг. прост</t>
  </si>
  <si>
    <t>Геометрия-К дуг. тон</t>
  </si>
  <si>
    <t>Геометрия-К плоск. мат прост</t>
  </si>
  <si>
    <t>Геометрия-К плоск. мат тон</t>
  </si>
  <si>
    <t>Геометрия-К плоск. прост</t>
  </si>
  <si>
    <t>Геометрия-К плоск. тон</t>
  </si>
  <si>
    <t>Геометрия-М плоск. мат прост</t>
  </si>
  <si>
    <t>Геометрия-М плоск. мат тон</t>
  </si>
  <si>
    <t>Геометрия-М плоск. прост</t>
  </si>
  <si>
    <t>Геометрия-М плоск. тон</t>
  </si>
  <si>
    <t>Геометрия-П плоск. мат прост</t>
  </si>
  <si>
    <t>Геометрия-П плоск. мат тон</t>
  </si>
  <si>
    <t>Геометрия-П плоск. прост</t>
  </si>
  <si>
    <t>Геометрия-П плоск. тон</t>
  </si>
  <si>
    <t>Геометрия-Ц плоск. мат прост</t>
  </si>
  <si>
    <t>Геометрия-Ц плоск. мат тон</t>
  </si>
  <si>
    <t>Геометрия-Ц плоск. прост</t>
  </si>
  <si>
    <t>Геометрия-Ц плоск. тон</t>
  </si>
  <si>
    <t>Гжель-К дуг. мат прост</t>
  </si>
  <si>
    <t>Гжель-К дуг. мат тон</t>
  </si>
  <si>
    <t>Гжель-К дуг. прост</t>
  </si>
  <si>
    <t>Гжель-К дуг. тон</t>
  </si>
  <si>
    <t>Гжель-К плоск. мат прост</t>
  </si>
  <si>
    <t>Гжель-К плоск. мат тон</t>
  </si>
  <si>
    <t>Гжель-К плоск. прост</t>
  </si>
  <si>
    <t>Гжель-К плоск. тон</t>
  </si>
  <si>
    <t>Гжель-М плоск. мат прост</t>
  </si>
  <si>
    <t>Гжель-М плоск. мат тон</t>
  </si>
  <si>
    <t>Гжель-М плоск. прост</t>
  </si>
  <si>
    <t>Гжель-М плоск. тон</t>
  </si>
  <si>
    <t>Гжель-П плоск. мат прост</t>
  </si>
  <si>
    <t>Гжель-П плоск. мат тон</t>
  </si>
  <si>
    <t>Гжель-П плоск. прост</t>
  </si>
  <si>
    <t>Гжель-П плоск. тон</t>
  </si>
  <si>
    <t>Гжель-Ц плоск. мат прост</t>
  </si>
  <si>
    <t>Гжель-Ц плоск. мат тон</t>
  </si>
  <si>
    <t>Гжель-Ц плоск. прост</t>
  </si>
  <si>
    <t>Гжель-Ц плоск. тон</t>
  </si>
  <si>
    <t>Жасмин-К дуг. мат прост</t>
  </si>
  <si>
    <t>Жасмин-К дуг. мат тон</t>
  </si>
  <si>
    <t>Жасмин-К дуг. прост</t>
  </si>
  <si>
    <t>Жасмин-К дуг. тон</t>
  </si>
  <si>
    <t>Жасмин-К плоск. мат прост</t>
  </si>
  <si>
    <t>Жасмин-К плоск. мат тон</t>
  </si>
  <si>
    <t>Жасмин-К плоск. прост</t>
  </si>
  <si>
    <t>Жасмин-К плоск. тон</t>
  </si>
  <si>
    <t>Жасмин-М плоск. мат прост</t>
  </si>
  <si>
    <t>Жасмин-М плоск. мат тон</t>
  </si>
  <si>
    <t>Жасмин-М плоск. прост</t>
  </si>
  <si>
    <t>Жасмин-М плоск. тон</t>
  </si>
  <si>
    <t>Жасмин-П дуг. мат прост</t>
  </si>
  <si>
    <t>Жасмин-П дуг. мат тон</t>
  </si>
  <si>
    <t>Жасмин-П дуг. прост</t>
  </si>
  <si>
    <t>Жасмин-П дуг. тон</t>
  </si>
  <si>
    <t>Жасмин-П плоск. мат прост</t>
  </si>
  <si>
    <t>Жасмин-П плоск. мат тон</t>
  </si>
  <si>
    <t>Жасмин-П плоск. прост</t>
  </si>
  <si>
    <t>Жасмин-П плоск. тон</t>
  </si>
  <si>
    <t>Жасмин-Ц дуг. мат прост</t>
  </si>
  <si>
    <t>Жасмин-Ц дуг. мат тон</t>
  </si>
  <si>
    <t>Жасмин-Ц дуг. прост</t>
  </si>
  <si>
    <t>Жасмин-Ц дуг. тон</t>
  </si>
  <si>
    <t>Жасмин-Ц плоск. мат прост</t>
  </si>
  <si>
    <t>Жасмин-Ц плоск. мат тон</t>
  </si>
  <si>
    <t>Жасмин-Ц плоск. прост</t>
  </si>
  <si>
    <t>Жасмин-Ц плоск. тон</t>
  </si>
  <si>
    <t>Империя-К дуг. мат прост</t>
  </si>
  <si>
    <t>Империя-К дуг. мат тон</t>
  </si>
  <si>
    <t>Империя-К дуг. прост</t>
  </si>
  <si>
    <t>Империя-К дуг. тон</t>
  </si>
  <si>
    <t>Империя-К плоск. мат прост</t>
  </si>
  <si>
    <t>Империя-К плоск. мат тон</t>
  </si>
  <si>
    <t>Империя-К плоск. прост</t>
  </si>
  <si>
    <t>Империя-К плоск. тон</t>
  </si>
  <si>
    <t>Империя-М плоск. мат прост</t>
  </si>
  <si>
    <t>Империя-М плоск. мат тон</t>
  </si>
  <si>
    <t>Империя-М плоск. прост</t>
  </si>
  <si>
    <t>Империя-М плоск. тон</t>
  </si>
  <si>
    <t>Квадро-К дуг. мат прост</t>
  </si>
  <si>
    <t>Квадро-К дуг. мат тон</t>
  </si>
  <si>
    <t>Квадро-К дуг. прост</t>
  </si>
  <si>
    <t>Квадро-К дуг. тон</t>
  </si>
  <si>
    <t>Квадро-К плоск. мат прост</t>
  </si>
  <si>
    <t>Квадро-К плоск. мат тон</t>
  </si>
  <si>
    <t>Квадро-К плоск. прост</t>
  </si>
  <si>
    <t>Квадро-К плоск. тон</t>
  </si>
  <si>
    <t>Квадро-М плоск. мат прост</t>
  </si>
  <si>
    <t>Квадро-М плоск. мат тон</t>
  </si>
  <si>
    <t>Квадро-М плоск. прост</t>
  </si>
  <si>
    <t>Квадро-М плоск. тон</t>
  </si>
  <si>
    <t>Квадро-П дуг. мат прост</t>
  </si>
  <si>
    <t>Квадро-П дуг. мат тон</t>
  </si>
  <si>
    <t>Квадро-П дуг. прост</t>
  </si>
  <si>
    <t>Квадро-П дуг. тон</t>
  </si>
  <si>
    <t>Квадро-П плоск. мат прост</t>
  </si>
  <si>
    <t>Квадро-П плоск. мат тон</t>
  </si>
  <si>
    <t>Квадро-П плоск. прост</t>
  </si>
  <si>
    <t>Квадро-П плоск. тон</t>
  </si>
  <si>
    <t>Квадро-Ц дуг. мат прост</t>
  </si>
  <si>
    <t>Квадро-Ц дуг. мат тон</t>
  </si>
  <si>
    <t>Квадро-Ц дуг. прост</t>
  </si>
  <si>
    <t>Квадро-Ц дуг. тон</t>
  </si>
  <si>
    <t>Квадро-Ц плоск. мат прост</t>
  </si>
  <si>
    <t>Квадро-Ц плоск. мат тон</t>
  </si>
  <si>
    <t>Квадро-Ц плоск. прост</t>
  </si>
  <si>
    <t>Квадро-Ц плоск. тон</t>
  </si>
  <si>
    <t>Клемантин-К дуг. мат прост</t>
  </si>
  <si>
    <t>Клемантин-К дуг. мат тон</t>
  </si>
  <si>
    <t>Клемантин-К дуг. прост</t>
  </si>
  <si>
    <t>Клемантин-К дуг. тон</t>
  </si>
  <si>
    <t>Клемантин-К плоск. мат прост</t>
  </si>
  <si>
    <t>Клемантин-К плоск. мат тон</t>
  </si>
  <si>
    <t>Клемантин-К плоск. прост</t>
  </si>
  <si>
    <t>Клемантин-К плоск. тон</t>
  </si>
  <si>
    <t>Клемантин-М плоск. мат прост</t>
  </si>
  <si>
    <t>Клемантин-М плоск. мат тон</t>
  </si>
  <si>
    <t>Клемантин-М плоск. прост</t>
  </si>
  <si>
    <t>Клемантин-М плоск. тон</t>
  </si>
  <si>
    <t>Клемантин-П дуг. мат прост</t>
  </si>
  <si>
    <t>Клемантин-П дуг. мат тон</t>
  </si>
  <si>
    <t>Клемантин-П дуг. прост</t>
  </si>
  <si>
    <t>Клемантин-П дуг. тон</t>
  </si>
  <si>
    <t>Клемантин-П плоск. мат прост</t>
  </si>
  <si>
    <t>Клемантин-П плоск. мат тон</t>
  </si>
  <si>
    <t>Клемантин-П плоск. прост</t>
  </si>
  <si>
    <t>Клемантин-П плоск. тон</t>
  </si>
  <si>
    <t>Клемантин-Ц дуг. мат прост</t>
  </si>
  <si>
    <t>Клемантин-Ц дуг. мат тон</t>
  </si>
  <si>
    <t>Клемантин-Ц дуг. прост</t>
  </si>
  <si>
    <t>Клемантин-Ц дуг. тон</t>
  </si>
  <si>
    <t>Клемантин-Ц плоск. мат прост</t>
  </si>
  <si>
    <t>Клемантин-Ц плоск. мат тон</t>
  </si>
  <si>
    <t>Клемантин-Ц плоск. прост</t>
  </si>
  <si>
    <t>Клемантин-Ц плоск. тон</t>
  </si>
  <si>
    <t>Лилия-К дуг. мат прост</t>
  </si>
  <si>
    <t>Лилия-К дуг. мат тон</t>
  </si>
  <si>
    <t>Лилия-К дуг. прост</t>
  </si>
  <si>
    <t>Лилия-К дуг. тон</t>
  </si>
  <si>
    <t>Лилия-К плоск. мат прост</t>
  </si>
  <si>
    <t>Лилия-К плоск. мат тон</t>
  </si>
  <si>
    <t>Лилия-К плоск. прост</t>
  </si>
  <si>
    <t>Лилия-К плоск. тон</t>
  </si>
  <si>
    <t>Лилия-М плоск. мат прост</t>
  </si>
  <si>
    <t>Лилия-М плоск. мат тон</t>
  </si>
  <si>
    <t>Лилия-М плоск. прост</t>
  </si>
  <si>
    <t>Лилия-М плоск. тон</t>
  </si>
  <si>
    <t>Лилия-П дуг. мат прост</t>
  </si>
  <si>
    <t>Лилия-П дуг. мат тон</t>
  </si>
  <si>
    <t>Лилия-П дуг. прост</t>
  </si>
  <si>
    <t>Лилия-П дуг. тон</t>
  </si>
  <si>
    <t>Лилия-П плоск. мат прост</t>
  </si>
  <si>
    <t>Лилия-П плоск. мат тон</t>
  </si>
  <si>
    <t>Лилия-П плоск. прост</t>
  </si>
  <si>
    <t>Лилия-П плоск. тон</t>
  </si>
  <si>
    <t>Лилия-Ц дуг. мат прост</t>
  </si>
  <si>
    <t>Лилия-Ц дуг. мат тон</t>
  </si>
  <si>
    <t>Лилия-Ц дуг. прост</t>
  </si>
  <si>
    <t>Лилия-Ц дуг. тон</t>
  </si>
  <si>
    <t>Лилия-Ц плоск. мат прост</t>
  </si>
  <si>
    <t>Лилия-Ц плоск. мат тон</t>
  </si>
  <si>
    <t>Лилия-Ц плоск. прост</t>
  </si>
  <si>
    <t>Лилия-Ц плоск. тон</t>
  </si>
  <si>
    <t>Лотос-К дуг. мат прост</t>
  </si>
  <si>
    <t>Лотос-К дуг. мат тон</t>
  </si>
  <si>
    <t>Лотос-К дуг. прост</t>
  </si>
  <si>
    <t>Лотос-К дуг. тон</t>
  </si>
  <si>
    <t>Лотос-К плоск. мат прост</t>
  </si>
  <si>
    <t>Лотос-К плоск. мат тон</t>
  </si>
  <si>
    <t>Лотос-К плоск. прост</t>
  </si>
  <si>
    <t>Лотос-К плоск. тон</t>
  </si>
  <si>
    <t>Лотос-М плоск. мат прост</t>
  </si>
  <si>
    <t>Лотос-М плоск. мат тон</t>
  </si>
  <si>
    <t>Лотос-М плоск. прост</t>
  </si>
  <si>
    <t>Лотос-М плоск. тон</t>
  </si>
  <si>
    <t>Лотос-П плоск. мат прост</t>
  </si>
  <si>
    <t>Лотос-П плоск. мат тон</t>
  </si>
  <si>
    <t>Лотос-П плоск. прост</t>
  </si>
  <si>
    <t>Лотос-П плоск. тон</t>
  </si>
  <si>
    <t>Лотос-Ц плоск. мат прост</t>
  </si>
  <si>
    <t>Лотос-Ц плоск. мат тон</t>
  </si>
  <si>
    <t>Лотос-Ц плоск. прост</t>
  </si>
  <si>
    <t>Лотос-Ц плоск. тон</t>
  </si>
  <si>
    <t>Маки-К дуг. мат прост</t>
  </si>
  <si>
    <t>Маки-К дуг. мат тон</t>
  </si>
  <si>
    <t>Маки-К дуг. прост</t>
  </si>
  <si>
    <t>Маки-К дуг. тон</t>
  </si>
  <si>
    <t>Маки-К плоск. мат прост</t>
  </si>
  <si>
    <t>Маки-К плоск. мат тон</t>
  </si>
  <si>
    <t>Маки-К плоск. прост</t>
  </si>
  <si>
    <t>Маки-К плоск. тон</t>
  </si>
  <si>
    <t>Маки-М плоск. мат прост</t>
  </si>
  <si>
    <t>Маки-М плоск. мат тон</t>
  </si>
  <si>
    <t>Маки-М плоск. прост</t>
  </si>
  <si>
    <t>Маки-М плоск. тон</t>
  </si>
  <si>
    <t>Ноктюрн-К дуг. мат прост</t>
  </si>
  <si>
    <t>Ноктюрн-К дуг. мат тон</t>
  </si>
  <si>
    <t>Ноктюрн-К дуг. прост</t>
  </si>
  <si>
    <t>Ноктюрн-К дуг. тон</t>
  </si>
  <si>
    <t>Ноктюрн-К плоск. мат прост</t>
  </si>
  <si>
    <t>Ноктюрн-К плоск. мат тон</t>
  </si>
  <si>
    <t>Ноктюрн-К плоск. прост</t>
  </si>
  <si>
    <t>Ноктюрн-К плоск. тон</t>
  </si>
  <si>
    <t>Ноктюрн-М плоск. мат прост</t>
  </si>
  <si>
    <t>Ноктюрн-М плоск. мат тон</t>
  </si>
  <si>
    <t>Ноктюрн-М плоск. прост</t>
  </si>
  <si>
    <t>Ноктюрн-М плоск. тон</t>
  </si>
  <si>
    <t>Ноктюрн-П дуг. мат прост</t>
  </si>
  <si>
    <t>Ноктюрн-П дуг. мат тон</t>
  </si>
  <si>
    <t>Ноктюрн-П дуг. прост</t>
  </si>
  <si>
    <t>Ноктюрн-П дуг. тон</t>
  </si>
  <si>
    <t>Ноктюрн-П плоск. мат прост</t>
  </si>
  <si>
    <t>Ноктюрн-П плоск. мат тон</t>
  </si>
  <si>
    <t>Ноктюрн-П плоск. прост</t>
  </si>
  <si>
    <t>Ноктюрн-П плоск. тон</t>
  </si>
  <si>
    <t>Решетка-К дуг. мат прост</t>
  </si>
  <si>
    <t>Решетка-К дуг. мат тон</t>
  </si>
  <si>
    <t>Решетка-К дуг. прост</t>
  </si>
  <si>
    <t>Решетка-К дуг. тон</t>
  </si>
  <si>
    <t>Решетка-К плоск. мат прост</t>
  </si>
  <si>
    <t>Решетка-К плоск. мат тон</t>
  </si>
  <si>
    <t>Решетка-К плоск. прост</t>
  </si>
  <si>
    <t>Решетка-К плоск. тон</t>
  </si>
  <si>
    <t>Решетка-С дуг. мат прост</t>
  </si>
  <si>
    <t>Решетка-С дуг. мат тон</t>
  </si>
  <si>
    <t>Решетка-С дуг. прост</t>
  </si>
  <si>
    <t>Решетка-С дуг. тон</t>
  </si>
  <si>
    <t>Решетка-С плоск. мат прост</t>
  </si>
  <si>
    <t>Решетка-С плоск. мат тон</t>
  </si>
  <si>
    <t>Решетка-С плоск. прост</t>
  </si>
  <si>
    <t>Решетка-С плоск. тон</t>
  </si>
  <si>
    <t>Роза-М плоск. мат прост</t>
  </si>
  <si>
    <t>Роза-М плоск. мат тон</t>
  </si>
  <si>
    <t>Роза-М плоск. прост</t>
  </si>
  <si>
    <t>Роза-М плоск. тон</t>
  </si>
  <si>
    <t>Роза-П плоск. мат прост</t>
  </si>
  <si>
    <t>Роза-П плоск. мат тон</t>
  </si>
  <si>
    <t>Роза-П дуг. мат прост</t>
  </si>
  <si>
    <t>Роза-П дуг. мат тон</t>
  </si>
  <si>
    <t>Роза-П дуг. прост</t>
  </si>
  <si>
    <t>Роза-П дуг. тон</t>
  </si>
  <si>
    <t>Роза-П плоск. прост</t>
  </si>
  <si>
    <t>Роза-П плоск. тон</t>
  </si>
  <si>
    <t>Роза-Ц дуг. мат прост</t>
  </si>
  <si>
    <t>Роза-Ц дуг. мат тон</t>
  </si>
  <si>
    <t>Роза-Ц дуг. прост</t>
  </si>
  <si>
    <t>Роза-Ц дуг. тон</t>
  </si>
  <si>
    <t>Роза-Ц плоск. мат прост</t>
  </si>
  <si>
    <t>Роза-Ц плоск. мат тон</t>
  </si>
  <si>
    <t>Роза-Ц плоск. прост</t>
  </si>
  <si>
    <t>Роза-Ц плоск. тон</t>
  </si>
  <si>
    <t>Сакура-К дуг. мат прост</t>
  </si>
  <si>
    <t>Сакура-К дуг. мат тон</t>
  </si>
  <si>
    <t>Сакура-К дуг. прост</t>
  </si>
  <si>
    <t>Сакура-К дуг. тон</t>
  </si>
  <si>
    <t>Сакура-К плоск. мат прост</t>
  </si>
  <si>
    <t>Сакура-К плоск. мат тон</t>
  </si>
  <si>
    <t>Сакура-К плоск. прост</t>
  </si>
  <si>
    <t>Сакура-К плоск. тон</t>
  </si>
  <si>
    <t>Сакура-М плоск. мат прост</t>
  </si>
  <si>
    <t>Сакура-М плоск. мат тон</t>
  </si>
  <si>
    <t>Сакура-М плоск. прост</t>
  </si>
  <si>
    <t>Сакура-М плоск. тон</t>
  </si>
  <si>
    <t>Сакура-П дуг. мат прост</t>
  </si>
  <si>
    <t>Сакура-П дуг. мат тон</t>
  </si>
  <si>
    <t>Сакура-П дуг. прост</t>
  </si>
  <si>
    <t>Сакура-П дуг. тон</t>
  </si>
  <si>
    <t>Сакура-П плоск. мат прост</t>
  </si>
  <si>
    <t>Сакура-П плоск. мат тон</t>
  </si>
  <si>
    <t>Сакура-П плоск. прост</t>
  </si>
  <si>
    <t>Сакура-П плоск. тон</t>
  </si>
  <si>
    <t>Сакура-Ц дуг. мат прост</t>
  </si>
  <si>
    <t>Сакура-Ц дуг. мат тон</t>
  </si>
  <si>
    <t>Сакура-Ц дуг. прост</t>
  </si>
  <si>
    <t>Сакура-Ц дуг. тон</t>
  </si>
  <si>
    <t>Сакура-Ц плоск. мат прост</t>
  </si>
  <si>
    <t>Сакура-Ц плоск. мат тон</t>
  </si>
  <si>
    <t>Сакура-Ц плоск. прост</t>
  </si>
  <si>
    <t>Сакура-Ц плоск. тон</t>
  </si>
  <si>
    <t>Соната-К дуг. мат прост</t>
  </si>
  <si>
    <t>Соната-К дуг. мат тон</t>
  </si>
  <si>
    <t>Соната-К дуг. прост</t>
  </si>
  <si>
    <t>Соната-К дуг. тон</t>
  </si>
  <si>
    <t>Соната-К плоск. мат прост</t>
  </si>
  <si>
    <t>Соната-К плоск. мат тон</t>
  </si>
  <si>
    <t>Соната-К плоск. прост</t>
  </si>
  <si>
    <t>Соната-К плоск. тон</t>
  </si>
  <si>
    <t>Соната-М плоск. мат прост</t>
  </si>
  <si>
    <t>Соната-М плоск. мат тон</t>
  </si>
  <si>
    <t>Соната-М плоск. прост</t>
  </si>
  <si>
    <t>Соната-М плоск. тон</t>
  </si>
  <si>
    <t>Стела-К дуг. мат прост</t>
  </si>
  <si>
    <t>Стела-К дуг. мат тон</t>
  </si>
  <si>
    <t>Стела-К дуг. прост</t>
  </si>
  <si>
    <t>Стела-К дуг. тон</t>
  </si>
  <si>
    <t>Стела-К плоск. мат прост</t>
  </si>
  <si>
    <t>Стела-К плоск. мат тон</t>
  </si>
  <si>
    <t>Стела-К плоск. прост</t>
  </si>
  <si>
    <t>Стела-К плоск. тон</t>
  </si>
  <si>
    <t>Стела-М плоск. мат прост</t>
  </si>
  <si>
    <t>Стела-М плоск. мат тон</t>
  </si>
  <si>
    <t>Стела-М плоск. прост</t>
  </si>
  <si>
    <t>Стела-М плоск. тон</t>
  </si>
  <si>
    <t>Стела-П дуг. мат прост</t>
  </si>
  <si>
    <t>Стела-П дуг. мат тон</t>
  </si>
  <si>
    <t>Стела-П дуг. прост</t>
  </si>
  <si>
    <t>Стела-П дуг. тон</t>
  </si>
  <si>
    <t>Стела-П плоск. мат прост</t>
  </si>
  <si>
    <t>Стела-П плоск. мат тон</t>
  </si>
  <si>
    <t>Стела-П плоск. прост</t>
  </si>
  <si>
    <t>Стела-П плоск. тон</t>
  </si>
  <si>
    <t>Фантазия-К дуг. мат прост</t>
  </si>
  <si>
    <t>Фантазия-К дуг. мат тон</t>
  </si>
  <si>
    <t>Фантазия-К дуг. прост</t>
  </si>
  <si>
    <t>Фантазия-К дуг. тон</t>
  </si>
  <si>
    <t>Фантазия-К плоск. мат прост</t>
  </si>
  <si>
    <t>Фантазия-К плоск. мат тон</t>
  </si>
  <si>
    <t>Фантазия-К плоск. прост</t>
  </si>
  <si>
    <t>Фантазия-К плоск. тон</t>
  </si>
  <si>
    <t>Фантазия-М плоск. мат прост</t>
  </si>
  <si>
    <t>Фантазия-М плоск. мат тон</t>
  </si>
  <si>
    <t>Фантазия-М плоск. прост</t>
  </si>
  <si>
    <t>Фантазия-М плоск. тон</t>
  </si>
  <si>
    <t>Цветение плоск. мат прост</t>
  </si>
  <si>
    <t>Цветение плоск. мат тон</t>
  </si>
  <si>
    <t>Цветение плоск. прост</t>
  </si>
  <si>
    <t>Цветение плоск. тон</t>
  </si>
  <si>
    <t>Этюд-К дуг. мат прост</t>
  </si>
  <si>
    <t>Этюд-К дуг. мат тон</t>
  </si>
  <si>
    <t>Этюд-К дуг. прост</t>
  </si>
  <si>
    <t>Этюд-К дуг. тон</t>
  </si>
  <si>
    <t>Этюд-К плоск. мат прост</t>
  </si>
  <si>
    <t>Этюд-К плоск. мат тон</t>
  </si>
  <si>
    <t>Этюд-К плоск. прост</t>
  </si>
  <si>
    <t>Этюд-К плоск. тон</t>
  </si>
  <si>
    <t>Этюд-М плоск. мат прост</t>
  </si>
  <si>
    <t>Этюд-М плоск. мат тон</t>
  </si>
  <si>
    <t>Этюд-М плоск. прост</t>
  </si>
  <si>
    <t>Этюд-М плоск. тон</t>
  </si>
  <si>
    <t>Этюд-П дуг. мат прост</t>
  </si>
  <si>
    <t>Этюд-П дуг. мат тон</t>
  </si>
  <si>
    <t>Этюд-П дуг. прост</t>
  </si>
  <si>
    <t>Этюд-П дуг. тон</t>
  </si>
  <si>
    <t>Этюд-П плоск. мат прост</t>
  </si>
  <si>
    <t>Этюд-П плоск. мат тон</t>
  </si>
  <si>
    <t>Этюд-П плоск. прост</t>
  </si>
  <si>
    <t>Этюд-П плоск. тон</t>
  </si>
  <si>
    <t>Этюд-Ц дуг. мат прост</t>
  </si>
  <si>
    <t>Этюд-Ц дуг. мат тон</t>
  </si>
  <si>
    <t>Этюд-Ц дуг. прост</t>
  </si>
  <si>
    <t>Этюд-Ц дуг. тон</t>
  </si>
  <si>
    <t>Этюд-Ц плоск. мат прост</t>
  </si>
  <si>
    <t>Этюд-Ц плоск. мат тон</t>
  </si>
  <si>
    <t>Этюд-Ц плоск. прост</t>
  </si>
  <si>
    <t>Этюд-Ц плоск. тон</t>
  </si>
  <si>
    <t>Ед.</t>
  </si>
  <si>
    <t xml:space="preserve">Стоимость </t>
  </si>
  <si>
    <t xml:space="preserve">Прайс-лист на стекла и витражи "Бора"        </t>
  </si>
  <si>
    <r>
      <t xml:space="preserve">Афродита </t>
    </r>
    <r>
      <rPr>
        <i/>
        <sz val="10"/>
        <rFont val="Cambria"/>
        <family val="1"/>
      </rPr>
      <t>(с тиснением)</t>
    </r>
  </si>
  <si>
    <r>
      <t xml:space="preserve">Ирида </t>
    </r>
    <r>
      <rPr>
        <i/>
        <sz val="10"/>
        <rFont val="Cambria"/>
        <family val="1"/>
      </rPr>
      <t>(с тиснением)</t>
    </r>
  </si>
  <si>
    <r>
      <t xml:space="preserve">Наяда </t>
    </r>
    <r>
      <rPr>
        <i/>
        <sz val="10"/>
        <rFont val="Cambria"/>
        <family val="1"/>
      </rPr>
      <t>(с тиснением)</t>
    </r>
  </si>
  <si>
    <r>
      <t xml:space="preserve">Ника </t>
    </r>
    <r>
      <rPr>
        <i/>
        <sz val="10"/>
        <rFont val="Cambria"/>
        <family val="1"/>
      </rPr>
      <t>(с тиснением)</t>
    </r>
  </si>
  <si>
    <r>
      <t xml:space="preserve">Грация </t>
    </r>
    <r>
      <rPr>
        <i/>
        <sz val="10"/>
        <rFont val="Cambria"/>
        <family val="1"/>
      </rPr>
      <t>(с тиснением)</t>
    </r>
  </si>
  <si>
    <r>
      <t xml:space="preserve">Олимпия </t>
    </r>
    <r>
      <rPr>
        <i/>
        <sz val="10"/>
        <rFont val="Cambria"/>
        <family val="1"/>
      </rPr>
      <t>(с тиснением)</t>
    </r>
  </si>
  <si>
    <r>
      <t xml:space="preserve">Роза </t>
    </r>
    <r>
      <rPr>
        <i/>
        <sz val="10"/>
        <rFont val="Cambria"/>
        <family val="1"/>
      </rPr>
      <t>(с тиснением)</t>
    </r>
  </si>
  <si>
    <r>
      <t xml:space="preserve">Ильвенто </t>
    </r>
    <r>
      <rPr>
        <sz val="12"/>
        <rFont val="Cambria"/>
        <family val="1"/>
      </rPr>
      <t>(для квадратуры изделия менее 0,28м.кв. наценка составит 30%)</t>
    </r>
  </si>
  <si>
    <t>Нижний Премиум</t>
  </si>
  <si>
    <t>Виньетка «Феникс» (150х150х12)</t>
  </si>
  <si>
    <t>Виньетка «Веер» (181х174х19)</t>
  </si>
  <si>
    <t>Виньетка «Афина» (246х1000х24)</t>
  </si>
  <si>
    <t>Виньетка «Афина» (197х800х24)</t>
  </si>
  <si>
    <t>Виньетка «Афина» (147х600х24)</t>
  </si>
  <si>
    <t>Виньетка «Патриция» (161х271х7)</t>
  </si>
  <si>
    <t>Виньетка «Селена» (430х115х22)</t>
  </si>
  <si>
    <t>Виньетка «Мирра» (245*63*7)</t>
  </si>
  <si>
    <t>Капитель «Фрея» (277х277х70)</t>
  </si>
  <si>
    <t>Капитель «Фрея» (320х320х90)</t>
  </si>
  <si>
    <t>Виньетка «Феона» (258х128х12)</t>
  </si>
  <si>
    <t>Виньетка «Орфей мини» (127х598х16)</t>
  </si>
  <si>
    <t>Виньетка «Орфей 598» (127х598х16)</t>
  </si>
  <si>
    <t>Виньетка «Орфей 750» (161х750х19)</t>
  </si>
  <si>
    <t>Розетка «Жемчужина» (230х230х20)</t>
  </si>
  <si>
    <t>Розетка «Жемчужина» (190х190х20)</t>
  </si>
  <si>
    <t>Розетка «Жемчужина» (150х150х20)</t>
  </si>
  <si>
    <t>Розетка «Барокко» (100х100х20)</t>
  </si>
  <si>
    <t>Изменение высоты дуговых фасадов свыше 956мм - на каждые 100мм цена увеличивается на 10%. На фасады от 1317 до 2000мм наценка 10%, от 2001 до 2700мм наценка 20%</t>
  </si>
  <si>
    <t>Колонна "Жасмин 60"</t>
  </si>
  <si>
    <t>Колонна "Магнолия 50"</t>
  </si>
  <si>
    <t>Колонна "Магнолия 75"</t>
  </si>
  <si>
    <t>Колонна "Папоротник 50"</t>
  </si>
  <si>
    <t>Колонна "Папоротник 75"</t>
  </si>
  <si>
    <t>Колонна "Папоротник 50-2"</t>
  </si>
  <si>
    <t>Колонна "Барокко 50"</t>
  </si>
  <si>
    <t>Колонна "Барокко  75"</t>
  </si>
  <si>
    <t>Колонна "Барокко  50-2"</t>
  </si>
  <si>
    <t>Колонна "Афина 100"</t>
  </si>
  <si>
    <t>Колонна "Афина 146"</t>
  </si>
  <si>
    <t>Колонна "Модена 60"</t>
  </si>
  <si>
    <t>Колонна "Модена 100"</t>
  </si>
  <si>
    <t>Колонна "Модена146"</t>
  </si>
  <si>
    <t>Колонна "Пирамида 146"</t>
  </si>
  <si>
    <t>Колонна "Пирамида 100"</t>
  </si>
  <si>
    <t>Опора "Магнолия 100 - 4 цветка"</t>
  </si>
  <si>
    <t>Опора "Фрея" нижняя 296</t>
  </si>
  <si>
    <t>Срок производства 10-15 рабочих дней</t>
  </si>
  <si>
    <t xml:space="preserve">Рязань, проезд Яблочкова, д. 5, стр. 15
тел. 8(4912) 470-430 доб. 230, 8-910-642-98-42 Елена, e-mail: e.bagmanova@i-k.su
t.me/interierkomplekt62
vk.com/interierkomplekt62
www.i-k.su
www.интерьер-комплект.рф
</t>
  </si>
  <si>
    <t xml:space="preserve">   Рязань, проезд Яблочкова, д. 5, стр. 15
тел. 8(4912) 470-430 доб. 230, 8-910-642-98-42 Елена, e-mail: e.bagmanova@i-k.su
t.me/interierkomplekt62
vk.com/interierkomplekt62
www.i-k.su
www.интерьер-комплект.рф
</t>
  </si>
  <si>
    <t>№ заказа</t>
  </si>
  <si>
    <t>Заказчик:</t>
  </si>
  <si>
    <t>Фасад:</t>
  </si>
  <si>
    <t>Материал:</t>
  </si>
  <si>
    <t>Цвет:</t>
  </si>
  <si>
    <t>Патина:</t>
  </si>
  <si>
    <t xml:space="preserve">Стекло: </t>
  </si>
  <si>
    <t>Решетка:</t>
  </si>
  <si>
    <t>№</t>
  </si>
  <si>
    <t>Примечание</t>
  </si>
  <si>
    <t>Выс</t>
  </si>
  <si>
    <t>Шир</t>
  </si>
  <si>
    <t>К-во</t>
  </si>
  <si>
    <t>Кв.м</t>
  </si>
  <si>
    <t>Фасад с филенкой</t>
  </si>
  <si>
    <t>Фасад под стекло</t>
  </si>
  <si>
    <t>Фасад с решеткой</t>
  </si>
  <si>
    <t>Накладка ящичная</t>
  </si>
  <si>
    <t>Планка декор. с калевкой</t>
  </si>
  <si>
    <t>Фасад дуговой под стекло</t>
  </si>
  <si>
    <t>Фасад дуговой с филенкой</t>
  </si>
  <si>
    <t>Фасад дуговой обратный</t>
  </si>
  <si>
    <t xml:space="preserve">Фриз фигурный верхний прямой </t>
  </si>
  <si>
    <t xml:space="preserve">Фриз фигурный верхний дуговой </t>
  </si>
  <si>
    <t>Декоративная подфризовая планка дуговая</t>
  </si>
  <si>
    <t>Фриз фигурный нижний прямой</t>
  </si>
  <si>
    <t xml:space="preserve">Фриз фигурный нижний дуговой </t>
  </si>
  <si>
    <t>Баллюстрада прямая 800 мм</t>
  </si>
  <si>
    <t>Баллюстрада прямая 1200 мм</t>
  </si>
  <si>
    <t>Баллюстрада дуговая</t>
  </si>
  <si>
    <t>Подиум прямой 100мм</t>
  </si>
  <si>
    <t>Подиум прямой 120мм</t>
  </si>
  <si>
    <t>Подиум дуговой 100мм</t>
  </si>
  <si>
    <t>Подиум дуговой 120мм</t>
  </si>
  <si>
    <t>Планка декоративная 1</t>
  </si>
  <si>
    <t>Колонна декоративная "Барокко"</t>
  </si>
  <si>
    <t>Колонна декоративная "Магнолия"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</si>
</sst>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₽&quot;;\-#,##0&quot;₽&quot;"/>
    <numFmt numFmtId="175" formatCode="#,##0&quot;₽&quot;;[Red]\-#,##0&quot;₽&quot;"/>
    <numFmt numFmtId="176" formatCode="#,##0.00&quot;₽&quot;;\-#,##0.00&quot;₽&quot;"/>
    <numFmt numFmtId="177" formatCode="#,##0.00&quot;₽&quot;;[Red]\-#,##0.00&quot;₽&quot;"/>
    <numFmt numFmtId="178" formatCode="_-* #,##0&quot;₽&quot;_-;\-* #,##0&quot;₽&quot;_-;_-* &quot;-&quot;&quot;₽&quot;_-;_-@_-"/>
    <numFmt numFmtId="179" formatCode="_-* #,##0_₽_-;\-* #,##0_₽_-;_-* &quot;-&quot;_₽_-;_-@_-"/>
    <numFmt numFmtId="180" formatCode="_-* #,##0.00&quot;₽&quot;_-;\-* #,##0.00&quot;₽&quot;_-;_-* &quot;-&quot;??&quot;₽&quot;_-;_-@_-"/>
    <numFmt numFmtId="181" formatCode="_-* #,##0.00_₽_-;\-* #,##0.00_₽_-;_-* &quot;-&quot;??_₽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#"/>
    <numFmt numFmtId="191" formatCode="#,##0&quot;р.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-* #,##0.0&quot;р.&quot;_-;\-* #,##0.0&quot;р.&quot;_-;_-* &quot;-&quot;??&quot;р.&quot;_-;_-@_-"/>
    <numFmt numFmtId="197" formatCode="_-* #,##0&quot;р.&quot;_-;\-* #,##0&quot;р.&quot;_-;_-* &quot;-&quot;??&quot;р.&quot;_-;_-@_-"/>
    <numFmt numFmtId="198" formatCode="_-* #,##0.000&quot;р.&quot;_-;\-* #,##0.000&quot;р.&quot;_-;_-* &quot;-&quot;??&quot;р.&quot;_-;_-@_-"/>
    <numFmt numFmtId="199" formatCode="0.000000"/>
    <numFmt numFmtId="200" formatCode="0.0000000"/>
    <numFmt numFmtId="201" formatCode="0.00000000"/>
    <numFmt numFmtId="202" formatCode="0.000000000"/>
    <numFmt numFmtId="203" formatCode="0.0000000000"/>
    <numFmt numFmtId="204" formatCode="0.00000000000"/>
    <numFmt numFmtId="205" formatCode="0.000000000000"/>
    <numFmt numFmtId="206" formatCode="dd&quot;.&quot;mm&quot;.&quot;yyyy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"/>
    <numFmt numFmtId="212" formatCode="0.0%"/>
    <numFmt numFmtId="213" formatCode="0.0E+00"/>
    <numFmt numFmtId="214" formatCode="0E+00"/>
    <numFmt numFmtId="215" formatCode="0.000E+00"/>
    <numFmt numFmtId="216" formatCode="0.0000E+00"/>
    <numFmt numFmtId="217" formatCode="0.00000E+00"/>
    <numFmt numFmtId="218" formatCode="0.000000E+00"/>
    <numFmt numFmtId="219" formatCode="0.E+00"/>
    <numFmt numFmtId="220" formatCode="[$-FC19]d\ mmmm\ yyyy\ &quot;г.&quot;"/>
    <numFmt numFmtId="221" formatCode="000000"/>
    <numFmt numFmtId="222" formatCode="0.0000"/>
  </numFmts>
  <fonts count="95">
    <font>
      <sz val="10"/>
      <name val="Arial"/>
      <family val="2"/>
    </font>
    <font>
      <b/>
      <sz val="10"/>
      <color indexed="62"/>
      <name val="Arial"/>
      <family val="2"/>
    </font>
    <font>
      <u val="single"/>
      <sz val="10"/>
      <color indexed="12"/>
      <name val="Arial"/>
      <family val="2"/>
    </font>
    <font>
      <sz val="10"/>
      <color indexed="30"/>
      <name val="Arial"/>
      <family val="2"/>
    </font>
    <font>
      <b/>
      <sz val="13"/>
      <color indexed="62"/>
      <name val="Arial"/>
      <family val="2"/>
    </font>
    <font>
      <b/>
      <u val="single"/>
      <sz val="16"/>
      <name val="Arial"/>
      <family val="2"/>
    </font>
    <font>
      <i/>
      <u val="single"/>
      <sz val="14"/>
      <color indexed="62"/>
      <name val="Arial"/>
      <family val="2"/>
    </font>
    <font>
      <b/>
      <sz val="12"/>
      <name val="Arial"/>
      <family val="2"/>
    </font>
    <font>
      <i/>
      <u val="single"/>
      <sz val="12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i/>
      <sz val="12"/>
      <color indexed="30"/>
      <name val="Arial"/>
      <family val="2"/>
    </font>
    <font>
      <b/>
      <sz val="8"/>
      <name val="Arial"/>
      <family val="2"/>
    </font>
    <font>
      <b/>
      <sz val="11"/>
      <name val="Book Antiqua"/>
      <family val="1"/>
    </font>
    <font>
      <b/>
      <sz val="16"/>
      <name val="Book Antiqua"/>
      <family val="1"/>
    </font>
    <font>
      <b/>
      <sz val="12"/>
      <color indexed="8"/>
      <name val="Book Antiqua"/>
      <family val="1"/>
    </font>
    <font>
      <i/>
      <sz val="10"/>
      <name val="Cambria"/>
      <family val="1"/>
    </font>
    <font>
      <sz val="12"/>
      <name val="Cambria"/>
      <family val="1"/>
    </font>
    <font>
      <b/>
      <sz val="14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9"/>
      <name val="Arial"/>
      <family val="2"/>
    </font>
    <font>
      <b/>
      <i/>
      <sz val="10"/>
      <color indexed="29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i/>
      <u val="single"/>
      <sz val="8"/>
      <color indexed="63"/>
      <name val="Arial"/>
      <family val="2"/>
    </font>
    <font>
      <b/>
      <i/>
      <sz val="8"/>
      <color indexed="29"/>
      <name val="Arial"/>
      <family val="2"/>
    </font>
    <font>
      <sz val="11"/>
      <color indexed="63"/>
      <name val="Arial"/>
      <family val="2"/>
    </font>
    <font>
      <b/>
      <sz val="12"/>
      <color indexed="8"/>
      <name val="Bookman Old Style"/>
      <family val="1"/>
    </font>
    <font>
      <b/>
      <sz val="11"/>
      <name val="Cambria"/>
      <family val="1"/>
    </font>
    <font>
      <b/>
      <sz val="11"/>
      <name val="Calibri"/>
      <family val="2"/>
    </font>
    <font>
      <b/>
      <i/>
      <sz val="16"/>
      <name val="Cambria"/>
      <family val="1"/>
    </font>
    <font>
      <b/>
      <i/>
      <u val="single"/>
      <sz val="16"/>
      <name val="Cambria"/>
      <family val="1"/>
    </font>
    <font>
      <i/>
      <sz val="10"/>
      <name val="Calibri"/>
      <family val="2"/>
    </font>
    <font>
      <i/>
      <sz val="16"/>
      <name val="Cambria"/>
      <family val="1"/>
    </font>
    <font>
      <i/>
      <sz val="9"/>
      <name val="Calibri"/>
      <family val="2"/>
    </font>
    <font>
      <i/>
      <sz val="9"/>
      <color indexed="8"/>
      <name val="Calibri"/>
      <family val="2"/>
    </font>
    <font>
      <b/>
      <sz val="16"/>
      <name val="Cambria"/>
      <family val="1"/>
    </font>
    <font>
      <b/>
      <i/>
      <sz val="14"/>
      <name val="Cambria"/>
      <family val="1"/>
    </font>
    <font>
      <b/>
      <i/>
      <sz val="14"/>
      <color indexed="8"/>
      <name val="Cambria"/>
      <family val="1"/>
    </font>
    <font>
      <sz val="10"/>
      <name val="Book Antiqua"/>
      <family val="1"/>
    </font>
    <font>
      <sz val="12"/>
      <name val="Book Antiqua"/>
      <family val="1"/>
    </font>
    <font>
      <b/>
      <sz val="11"/>
      <color indexed="10"/>
      <name val="Book Antiqua"/>
      <family val="1"/>
    </font>
    <font>
      <b/>
      <sz val="12"/>
      <name val="Book Antiqua"/>
      <family val="1"/>
    </font>
    <font>
      <i/>
      <sz val="10"/>
      <name val="Book Antiqua"/>
      <family val="1"/>
    </font>
    <font>
      <i/>
      <sz val="10"/>
      <color indexed="8"/>
      <name val="Book Antiqua"/>
      <family val="1"/>
    </font>
    <font>
      <sz val="10"/>
      <color indexed="8"/>
      <name val="Book Antiqua"/>
      <family val="1"/>
    </font>
    <font>
      <b/>
      <i/>
      <sz val="11"/>
      <name val="Book Antiqua"/>
      <family val="1"/>
    </font>
    <font>
      <sz val="12"/>
      <color indexed="8"/>
      <name val="Book Antiqua"/>
      <family val="1"/>
    </font>
    <font>
      <b/>
      <i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BB9D8C"/>
      <name val="Arial"/>
      <family val="2"/>
    </font>
    <font>
      <b/>
      <i/>
      <sz val="10"/>
      <color rgb="FFBB9D8C"/>
      <name val="Arial"/>
      <family val="2"/>
    </font>
    <font>
      <b/>
      <sz val="10"/>
      <color rgb="FF2C2E47"/>
      <name val="Arial"/>
      <family val="2"/>
    </font>
    <font>
      <sz val="10"/>
      <color rgb="FF2C2E47"/>
      <name val="Arial"/>
      <family val="2"/>
    </font>
    <font>
      <i/>
      <u val="single"/>
      <sz val="8"/>
      <color rgb="FF2C2E47"/>
      <name val="Arial"/>
      <family val="2"/>
    </font>
    <font>
      <b/>
      <i/>
      <sz val="8"/>
      <color rgb="FFBB9D8C"/>
      <name val="Arial"/>
      <family val="2"/>
    </font>
    <font>
      <sz val="11"/>
      <color rgb="FF2C2D2E"/>
      <name val="Arial"/>
      <family val="2"/>
    </font>
    <font>
      <b/>
      <sz val="12"/>
      <color theme="1"/>
      <name val="Bookman Old Style"/>
      <family val="1"/>
    </font>
    <font>
      <i/>
      <sz val="9"/>
      <color theme="1"/>
      <name val="Calibri"/>
      <family val="2"/>
    </font>
    <font>
      <b/>
      <i/>
      <sz val="14"/>
      <color theme="1"/>
      <name val="Cambria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6E2"/>
        <bgColor indexed="64"/>
      </patternFill>
    </fill>
    <fill>
      <patternFill patternType="solid">
        <fgColor rgb="FFEEE6E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medium"/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67" fillId="0" borderId="0">
      <alignment/>
      <protection/>
    </xf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84" fillId="32" borderId="0" applyNumberFormat="0" applyBorder="0" applyAlignment="0" applyProtection="0"/>
  </cellStyleXfs>
  <cellXfs count="493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>
      <alignment/>
    </xf>
    <xf numFmtId="0" fontId="11" fillId="0" borderId="10" xfId="0" applyFont="1" applyBorder="1" applyAlignment="1" applyProtection="1">
      <alignment horizontal="center" vertical="center"/>
      <protection hidden="1"/>
    </xf>
    <xf numFmtId="191" fontId="7" fillId="0" borderId="10" xfId="0" applyNumberFormat="1" applyFont="1" applyBorder="1" applyAlignment="1" applyProtection="1">
      <alignment horizontal="center" vertical="center"/>
      <protection hidden="1"/>
    </xf>
    <xf numFmtId="0" fontId="11" fillId="33" borderId="10" xfId="0" applyFont="1" applyFill="1" applyBorder="1" applyAlignment="1" applyProtection="1">
      <alignment horizontal="center" vertical="center"/>
      <protection hidden="1"/>
    </xf>
    <xf numFmtId="191" fontId="7" fillId="33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42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42" applyNumberFormat="1" applyFont="1" applyFill="1" applyBorder="1" applyAlignment="1" applyProtection="1">
      <alignment vertical="center"/>
      <protection/>
    </xf>
    <xf numFmtId="0" fontId="0" fillId="34" borderId="11" xfId="0" applyFill="1" applyBorder="1" applyAlignment="1" applyProtection="1">
      <alignment horizontal="left" vertical="center" indent="1"/>
      <protection/>
    </xf>
    <xf numFmtId="0" fontId="0" fillId="34" borderId="12" xfId="0" applyFill="1" applyBorder="1" applyAlignment="1" applyProtection="1">
      <alignment horizontal="left" vertical="center" indent="1"/>
      <protection/>
    </xf>
    <xf numFmtId="0" fontId="0" fillId="34" borderId="13" xfId="0" applyFont="1" applyFill="1" applyBorder="1" applyAlignment="1" applyProtection="1">
      <alignment horizontal="left" vertical="center" indent="1"/>
      <protection/>
    </xf>
    <xf numFmtId="0" fontId="0" fillId="34" borderId="14" xfId="0" applyFill="1" applyBorder="1" applyAlignment="1" applyProtection="1">
      <alignment horizontal="left" vertical="center" indent="1"/>
      <protection/>
    </xf>
    <xf numFmtId="0" fontId="0" fillId="34" borderId="15" xfId="0" applyFill="1" applyBorder="1" applyAlignment="1" applyProtection="1">
      <alignment horizontal="left" vertical="center" indent="1"/>
      <protection/>
    </xf>
    <xf numFmtId="0" fontId="0" fillId="34" borderId="0" xfId="0" applyFill="1" applyBorder="1" applyAlignment="1" applyProtection="1">
      <alignment horizontal="left" vertical="center" indent="1"/>
      <protection/>
    </xf>
    <xf numFmtId="0" fontId="0" fillId="34" borderId="16" xfId="0" applyFill="1" applyBorder="1" applyAlignment="1" applyProtection="1">
      <alignment horizontal="left" vertical="center" indent="1"/>
      <protection/>
    </xf>
    <xf numFmtId="0" fontId="0" fillId="0" borderId="13" xfId="0" applyFill="1" applyBorder="1" applyAlignment="1" applyProtection="1">
      <alignment horizontal="left" vertical="center" indent="1"/>
      <protection/>
    </xf>
    <xf numFmtId="0" fontId="0" fillId="34" borderId="13" xfId="0" applyFill="1" applyBorder="1" applyAlignment="1" applyProtection="1">
      <alignment horizontal="left" vertical="center" indent="1"/>
      <protection/>
    </xf>
    <xf numFmtId="0" fontId="0" fillId="34" borderId="17" xfId="0" applyFill="1" applyBorder="1" applyAlignment="1" applyProtection="1">
      <alignment horizontal="left" vertical="center" indent="1"/>
      <protection/>
    </xf>
    <xf numFmtId="0" fontId="0" fillId="34" borderId="18" xfId="0" applyFill="1" applyBorder="1" applyAlignment="1" applyProtection="1">
      <alignment horizontal="left" vertical="center" indent="1"/>
      <protection/>
    </xf>
    <xf numFmtId="0" fontId="0" fillId="0" borderId="0" xfId="0" applyFill="1" applyBorder="1" applyAlignment="1" applyProtection="1">
      <alignment horizontal="left" vertical="center" indent="1"/>
      <protection/>
    </xf>
    <xf numFmtId="0" fontId="0" fillId="34" borderId="19" xfId="0" applyFill="1" applyBorder="1" applyAlignment="1" applyProtection="1">
      <alignment horizontal="left" vertical="center" indent="1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0" fillId="0" borderId="16" xfId="0" applyFill="1" applyBorder="1" applyAlignment="1" applyProtection="1">
      <alignment horizontal="left" vertical="center" indent="1"/>
      <protection/>
    </xf>
    <xf numFmtId="0" fontId="0" fillId="0" borderId="21" xfId="0" applyFill="1" applyBorder="1" applyAlignment="1" applyProtection="1">
      <alignment horizontal="left" vertical="center" indent="1"/>
      <protection/>
    </xf>
    <xf numFmtId="0" fontId="0" fillId="34" borderId="22" xfId="0" applyFill="1" applyBorder="1" applyAlignment="1" applyProtection="1">
      <alignment horizontal="left" vertical="center" indent="1"/>
      <protection/>
    </xf>
    <xf numFmtId="0" fontId="0" fillId="34" borderId="23" xfId="0" applyFill="1" applyBorder="1" applyAlignment="1" applyProtection="1">
      <alignment horizontal="left" vertical="center" indent="1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 horizontal="left" vertical="center" indent="1"/>
      <protection/>
    </xf>
    <xf numFmtId="0" fontId="0" fillId="34" borderId="25" xfId="0" applyFill="1" applyBorder="1" applyAlignment="1" applyProtection="1">
      <alignment horizontal="left" vertical="center" inden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 applyProtection="1">
      <alignment/>
      <protection/>
    </xf>
    <xf numFmtId="0" fontId="0" fillId="34" borderId="26" xfId="0" applyFill="1" applyBorder="1" applyAlignment="1" applyProtection="1">
      <alignment horizontal="left" vertical="center" indent="1"/>
      <protection/>
    </xf>
    <xf numFmtId="0" fontId="67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 vertical="center" indent="1"/>
      <protection/>
    </xf>
    <xf numFmtId="0" fontId="67" fillId="0" borderId="10" xfId="0" applyFont="1" applyBorder="1" applyAlignment="1" applyProtection="1">
      <alignment horizontal="left"/>
      <protection/>
    </xf>
    <xf numFmtId="0" fontId="10" fillId="0" borderId="10" xfId="0" applyFont="1" applyFill="1" applyBorder="1" applyAlignment="1" applyProtection="1">
      <alignment horizontal="left" vertical="center"/>
      <protection hidden="1"/>
    </xf>
    <xf numFmtId="0" fontId="67" fillId="35" borderId="10" xfId="0" applyFont="1" applyFill="1" applyBorder="1" applyAlignment="1" applyProtection="1">
      <alignment horizontal="left"/>
      <protection/>
    </xf>
    <xf numFmtId="0" fontId="0" fillId="34" borderId="21" xfId="0" applyFill="1" applyBorder="1" applyAlignment="1" applyProtection="1">
      <alignment horizontal="left" vertical="center" indent="1"/>
      <protection/>
    </xf>
    <xf numFmtId="0" fontId="0" fillId="34" borderId="24" xfId="0" applyFill="1" applyBorder="1" applyAlignment="1" applyProtection="1">
      <alignment horizontal="left" vertical="center" indent="1"/>
      <protection/>
    </xf>
    <xf numFmtId="0" fontId="0" fillId="34" borderId="10" xfId="0" applyFill="1" applyBorder="1" applyAlignment="1" applyProtection="1">
      <alignment horizontal="left" vertical="center" indent="1"/>
      <protection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191" fontId="7" fillId="0" borderId="28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/>
      <protection/>
    </xf>
    <xf numFmtId="0" fontId="85" fillId="0" borderId="0" xfId="0" applyFont="1" applyAlignment="1" applyProtection="1">
      <alignment/>
      <protection/>
    </xf>
    <xf numFmtId="14" fontId="86" fillId="0" borderId="0" xfId="0" applyNumberFormat="1" applyFont="1" applyAlignment="1" applyProtection="1">
      <alignment horizontal="right" vertical="center"/>
      <protection/>
    </xf>
    <xf numFmtId="0" fontId="87" fillId="0" borderId="0" xfId="0" applyFont="1" applyAlignment="1" applyProtection="1">
      <alignment vertical="center"/>
      <protection/>
    </xf>
    <xf numFmtId="0" fontId="88" fillId="0" borderId="0" xfId="0" applyFont="1" applyAlignment="1" applyProtection="1">
      <alignment vertical="center"/>
      <protection/>
    </xf>
    <xf numFmtId="0" fontId="88" fillId="0" borderId="0" xfId="0" applyFont="1" applyAlignment="1" applyProtection="1">
      <alignment/>
      <protection/>
    </xf>
    <xf numFmtId="0" fontId="89" fillId="0" borderId="0" xfId="42" applyNumberFormat="1" applyFont="1" applyFill="1" applyBorder="1" applyAlignment="1" applyProtection="1">
      <alignment horizontal="right" vertical="center"/>
      <protection/>
    </xf>
    <xf numFmtId="0" fontId="0" fillId="34" borderId="29" xfId="0" applyFill="1" applyBorder="1" applyAlignment="1" applyProtection="1">
      <alignment horizontal="left" vertical="center" indent="1"/>
      <protection/>
    </xf>
    <xf numFmtId="0" fontId="87" fillId="0" borderId="0" xfId="0" applyFont="1" applyAlignment="1" applyProtection="1">
      <alignment vertical="center"/>
      <protection hidden="1"/>
    </xf>
    <xf numFmtId="14" fontId="90" fillId="0" borderId="0" xfId="0" applyNumberFormat="1" applyFont="1" applyAlignment="1" applyProtection="1">
      <alignment horizontal="right" vertical="center"/>
      <protection/>
    </xf>
    <xf numFmtId="191" fontId="7" fillId="36" borderId="10" xfId="0" applyNumberFormat="1" applyFont="1" applyFill="1" applyBorder="1" applyAlignment="1" applyProtection="1">
      <alignment horizontal="center" vertical="center"/>
      <protection hidden="1"/>
    </xf>
    <xf numFmtId="191" fontId="7" fillId="37" borderId="10" xfId="0" applyNumberFormat="1" applyFont="1" applyFill="1" applyBorder="1" applyAlignment="1" applyProtection="1">
      <alignment horizontal="center" vertical="center"/>
      <protection hidden="1"/>
    </xf>
    <xf numFmtId="191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/>
      <protection/>
    </xf>
    <xf numFmtId="0" fontId="0" fillId="34" borderId="30" xfId="0" applyFill="1" applyBorder="1" applyAlignment="1" applyProtection="1">
      <alignment horizontal="left" vertical="center" indent="1"/>
      <protection/>
    </xf>
    <xf numFmtId="0" fontId="0" fillId="34" borderId="31" xfId="0" applyFill="1" applyBorder="1" applyAlignment="1" applyProtection="1">
      <alignment horizontal="left" vertical="center" indent="1"/>
      <protection/>
    </xf>
    <xf numFmtId="0" fontId="0" fillId="34" borderId="32" xfId="0" applyFont="1" applyFill="1" applyBorder="1" applyAlignment="1" applyProtection="1">
      <alignment horizontal="left" vertical="center" indent="1"/>
      <protection/>
    </xf>
    <xf numFmtId="0" fontId="0" fillId="34" borderId="33" xfId="0" applyFill="1" applyBorder="1" applyAlignment="1" applyProtection="1">
      <alignment horizontal="left" vertical="center" indent="1"/>
      <protection/>
    </xf>
    <xf numFmtId="0" fontId="0" fillId="0" borderId="0" xfId="0" applyFill="1" applyBorder="1" applyAlignment="1" applyProtection="1">
      <alignment/>
      <protection/>
    </xf>
    <xf numFmtId="0" fontId="0" fillId="34" borderId="34" xfId="0" applyFill="1" applyBorder="1" applyAlignment="1" applyProtection="1">
      <alignment horizontal="left" vertical="center" indent="1"/>
      <protection/>
    </xf>
    <xf numFmtId="0" fontId="0" fillId="34" borderId="35" xfId="0" applyFill="1" applyBorder="1" applyAlignment="1" applyProtection="1">
      <alignment horizontal="left" vertical="center" indent="1"/>
      <protection/>
    </xf>
    <xf numFmtId="0" fontId="0" fillId="0" borderId="36" xfId="0" applyFill="1" applyBorder="1" applyAlignment="1" applyProtection="1">
      <alignment horizontal="left" vertical="center" indent="1"/>
      <protection/>
    </xf>
    <xf numFmtId="0" fontId="0" fillId="0" borderId="32" xfId="0" applyFill="1" applyBorder="1" applyAlignment="1" applyProtection="1">
      <alignment horizontal="left" vertical="center" indent="1"/>
      <protection/>
    </xf>
    <xf numFmtId="0" fontId="0" fillId="0" borderId="35" xfId="0" applyFill="1" applyBorder="1" applyAlignment="1" applyProtection="1">
      <alignment horizontal="left" vertical="center" indent="1"/>
      <protection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0" fontId="0" fillId="34" borderId="37" xfId="0" applyFill="1" applyBorder="1" applyAlignment="1" applyProtection="1">
      <alignment horizontal="left" vertical="center" inden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34" borderId="36" xfId="0" applyFill="1" applyBorder="1" applyAlignment="1" applyProtection="1">
      <alignment horizontal="left" vertical="center" indent="1"/>
      <protection/>
    </xf>
    <xf numFmtId="0" fontId="0" fillId="34" borderId="38" xfId="0" applyFill="1" applyBorder="1" applyAlignment="1" applyProtection="1">
      <alignment horizontal="left" vertical="center" indent="1"/>
      <protection/>
    </xf>
    <xf numFmtId="0" fontId="0" fillId="0" borderId="14" xfId="0" applyFill="1" applyBorder="1" applyAlignment="1" applyProtection="1">
      <alignment horizontal="left" vertical="center" indent="1"/>
      <protection/>
    </xf>
    <xf numFmtId="0" fontId="0" fillId="34" borderId="12" xfId="0" applyFont="1" applyFill="1" applyBorder="1" applyAlignment="1" applyProtection="1">
      <alignment horizontal="left" vertical="center" indent="1"/>
      <protection/>
    </xf>
    <xf numFmtId="0" fontId="0" fillId="34" borderId="31" xfId="0" applyFont="1" applyFill="1" applyBorder="1" applyAlignment="1" applyProtection="1">
      <alignment horizontal="left" vertical="center" indent="1"/>
      <protection/>
    </xf>
    <xf numFmtId="0" fontId="91" fillId="0" borderId="0" xfId="0" applyFont="1" applyAlignment="1">
      <alignment vertical="center" wrapText="1"/>
    </xf>
    <xf numFmtId="0" fontId="92" fillId="0" borderId="0" xfId="0" applyFont="1" applyAlignment="1">
      <alignment vertical="center" wrapText="1"/>
    </xf>
    <xf numFmtId="0" fontId="92" fillId="38" borderId="0" xfId="0" applyFont="1" applyFill="1" applyAlignment="1">
      <alignment vertical="center" wrapText="1"/>
    </xf>
    <xf numFmtId="0" fontId="0" fillId="0" borderId="0" xfId="0" applyFill="1" applyAlignment="1" applyProtection="1">
      <alignment/>
      <protection/>
    </xf>
    <xf numFmtId="0" fontId="0" fillId="34" borderId="39" xfId="0" applyFill="1" applyBorder="1" applyAlignment="1" applyProtection="1">
      <alignment horizontal="left" vertical="center" indent="1"/>
      <protection/>
    </xf>
    <xf numFmtId="0" fontId="0" fillId="34" borderId="40" xfId="0" applyFill="1" applyBorder="1" applyAlignment="1" applyProtection="1">
      <alignment horizontal="left" vertical="center" indent="1"/>
      <protection/>
    </xf>
    <xf numFmtId="0" fontId="0" fillId="0" borderId="41" xfId="0" applyFill="1" applyBorder="1" applyAlignment="1" applyProtection="1">
      <alignment horizontal="left" vertical="center" indent="1"/>
      <protection/>
    </xf>
    <xf numFmtId="0" fontId="0" fillId="34" borderId="32" xfId="0" applyFill="1" applyBorder="1" applyAlignment="1" applyProtection="1">
      <alignment horizontal="left" vertical="center" indent="1"/>
      <protection/>
    </xf>
    <xf numFmtId="0" fontId="0" fillId="0" borderId="42" xfId="0" applyFill="1" applyBorder="1" applyAlignment="1" applyProtection="1">
      <alignment horizontal="left" vertical="center" indent="1"/>
      <protection/>
    </xf>
    <xf numFmtId="0" fontId="0" fillId="34" borderId="41" xfId="0" applyFill="1" applyBorder="1" applyAlignment="1" applyProtection="1">
      <alignment horizontal="left" vertical="center" indent="1"/>
      <protection/>
    </xf>
    <xf numFmtId="0" fontId="0" fillId="0" borderId="40" xfId="0" applyFill="1" applyBorder="1" applyAlignment="1" applyProtection="1">
      <alignment horizontal="left" vertical="center" inden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46" fillId="12" borderId="43" xfId="0" applyFont="1" applyFill="1" applyBorder="1" applyAlignment="1" applyProtection="1">
      <alignment horizontal="center" vertical="center" wrapText="1"/>
      <protection/>
    </xf>
    <xf numFmtId="0" fontId="46" fillId="12" borderId="44" xfId="0" applyFont="1" applyFill="1" applyBorder="1" applyAlignment="1" applyProtection="1">
      <alignment horizontal="center" vertical="center" wrapText="1"/>
      <protection/>
    </xf>
    <xf numFmtId="0" fontId="46" fillId="12" borderId="45" xfId="0" applyFont="1" applyFill="1" applyBorder="1" applyAlignment="1" applyProtection="1">
      <alignment horizontal="center" vertical="center" wrapText="1"/>
      <protection/>
    </xf>
    <xf numFmtId="0" fontId="46" fillId="12" borderId="46" xfId="0" applyFont="1" applyFill="1" applyBorder="1" applyAlignment="1" applyProtection="1">
      <alignment horizontal="center" vertical="center" wrapText="1"/>
      <protection/>
    </xf>
    <xf numFmtId="0" fontId="46" fillId="12" borderId="47" xfId="0" applyFont="1" applyFill="1" applyBorder="1" applyAlignment="1" applyProtection="1">
      <alignment horizontal="center" vertical="center" wrapText="1"/>
      <protection/>
    </xf>
    <xf numFmtId="0" fontId="46" fillId="12" borderId="48" xfId="0" applyFont="1" applyFill="1" applyBorder="1" applyAlignment="1" applyProtection="1">
      <alignment horizontal="center" vertical="center" wrapText="1"/>
      <protection/>
    </xf>
    <xf numFmtId="0" fontId="46" fillId="12" borderId="49" xfId="0" applyFont="1" applyFill="1" applyBorder="1" applyAlignment="1" applyProtection="1">
      <alignment horizontal="center" vertical="center" wrapText="1"/>
      <protection/>
    </xf>
    <xf numFmtId="0" fontId="46" fillId="12" borderId="50" xfId="0" applyFont="1" applyFill="1" applyBorder="1" applyAlignment="1" applyProtection="1">
      <alignment horizontal="center" vertical="center" wrapText="1"/>
      <protection/>
    </xf>
    <xf numFmtId="0" fontId="47" fillId="0" borderId="51" xfId="0" applyFont="1" applyFill="1" applyBorder="1" applyAlignment="1" applyProtection="1">
      <alignment horizontal="center"/>
      <protection/>
    </xf>
    <xf numFmtId="0" fontId="47" fillId="0" borderId="52" xfId="0" applyFont="1" applyFill="1" applyBorder="1" applyAlignment="1" applyProtection="1">
      <alignment horizontal="center"/>
      <protection/>
    </xf>
    <xf numFmtId="0" fontId="47" fillId="0" borderId="53" xfId="0" applyFont="1" applyFill="1" applyBorder="1" applyAlignment="1" applyProtection="1">
      <alignment horizontal="center"/>
      <protection/>
    </xf>
    <xf numFmtId="0" fontId="47" fillId="0" borderId="28" xfId="0" applyFont="1" applyFill="1" applyBorder="1" applyAlignment="1" applyProtection="1">
      <alignment horizontal="center"/>
      <protection/>
    </xf>
    <xf numFmtId="0" fontId="47" fillId="0" borderId="54" xfId="0" applyFont="1" applyFill="1" applyBorder="1" applyAlignment="1" applyProtection="1">
      <alignment horizontal="center"/>
      <protection/>
    </xf>
    <xf numFmtId="0" fontId="47" fillId="0" borderId="55" xfId="0" applyFont="1" applyFill="1" applyBorder="1" applyAlignment="1" applyProtection="1">
      <alignment horizontal="center"/>
      <protection/>
    </xf>
    <xf numFmtId="0" fontId="47" fillId="0" borderId="56" xfId="0" applyFont="1" applyFill="1" applyBorder="1" applyAlignment="1" applyProtection="1">
      <alignment horizontal="center"/>
      <protection/>
    </xf>
    <xf numFmtId="0" fontId="47" fillId="0" borderId="57" xfId="0" applyFont="1" applyFill="1" applyBorder="1" applyAlignment="1" applyProtection="1">
      <alignment horizontal="center"/>
      <protection/>
    </xf>
    <xf numFmtId="0" fontId="47" fillId="0" borderId="58" xfId="0" applyFont="1" applyFill="1" applyBorder="1" applyAlignment="1" applyProtection="1">
      <alignment horizontal="center"/>
      <protection/>
    </xf>
    <xf numFmtId="0" fontId="47" fillId="0" borderId="59" xfId="0" applyFont="1" applyFill="1" applyBorder="1" applyAlignment="1" applyProtection="1">
      <alignment horizontal="center"/>
      <protection/>
    </xf>
    <xf numFmtId="0" fontId="47" fillId="0" borderId="37" xfId="0" applyFont="1" applyFill="1" applyBorder="1" applyAlignment="1" applyProtection="1">
      <alignment horizontal="center"/>
      <protection/>
    </xf>
    <xf numFmtId="0" fontId="47" fillId="0" borderId="47" xfId="0" applyFont="1" applyFill="1" applyBorder="1" applyAlignment="1" applyProtection="1">
      <alignment horizontal="center"/>
      <protection/>
    </xf>
    <xf numFmtId="0" fontId="47" fillId="0" borderId="60" xfId="0" applyFont="1" applyFill="1" applyBorder="1" applyAlignment="1" applyProtection="1">
      <alignment horizontal="center"/>
      <protection/>
    </xf>
    <xf numFmtId="0" fontId="47" fillId="0" borderId="61" xfId="0" applyFont="1" applyFill="1" applyBorder="1" applyAlignment="1" applyProtection="1">
      <alignment horizontal="center"/>
      <protection/>
    </xf>
    <xf numFmtId="0" fontId="47" fillId="0" borderId="56" xfId="0" applyFont="1" applyFill="1" applyBorder="1" applyAlignment="1" applyProtection="1">
      <alignment horizontal="center" wrapText="1"/>
      <protection/>
    </xf>
    <xf numFmtId="0" fontId="47" fillId="0" borderId="50" xfId="0" applyFont="1" applyFill="1" applyBorder="1" applyAlignment="1" applyProtection="1">
      <alignment horizontal="center"/>
      <protection/>
    </xf>
    <xf numFmtId="0" fontId="47" fillId="0" borderId="62" xfId="0" applyFont="1" applyFill="1" applyBorder="1" applyAlignment="1" applyProtection="1">
      <alignment horizontal="center"/>
      <protection/>
    </xf>
    <xf numFmtId="0" fontId="47" fillId="0" borderId="63" xfId="0" applyFont="1" applyFill="1" applyBorder="1" applyAlignment="1" applyProtection="1">
      <alignment horizontal="center"/>
      <protection/>
    </xf>
    <xf numFmtId="0" fontId="47" fillId="0" borderId="64" xfId="0" applyFont="1" applyFill="1" applyBorder="1" applyAlignment="1" applyProtection="1">
      <alignment horizontal="center"/>
      <protection/>
    </xf>
    <xf numFmtId="0" fontId="47" fillId="0" borderId="65" xfId="0" applyFont="1" applyFill="1" applyBorder="1" applyAlignment="1" applyProtection="1">
      <alignment horizontal="left"/>
      <protection/>
    </xf>
    <xf numFmtId="0" fontId="47" fillId="0" borderId="66" xfId="0" applyFont="1" applyFill="1" applyBorder="1" applyAlignment="1" applyProtection="1">
      <alignment horizontal="left"/>
      <protection/>
    </xf>
    <xf numFmtId="0" fontId="47" fillId="0" borderId="54" xfId="0" applyFont="1" applyFill="1" applyBorder="1" applyAlignment="1" applyProtection="1">
      <alignment horizontal="left"/>
      <protection/>
    </xf>
    <xf numFmtId="0" fontId="47" fillId="0" borderId="59" xfId="0" applyFont="1" applyFill="1" applyBorder="1" applyAlignment="1" applyProtection="1">
      <alignment horizontal="left"/>
      <protection/>
    </xf>
    <xf numFmtId="0" fontId="47" fillId="0" borderId="67" xfId="0" applyFont="1" applyFill="1" applyBorder="1" applyAlignment="1" applyProtection="1">
      <alignment horizontal="left"/>
      <protection/>
    </xf>
    <xf numFmtId="0" fontId="47" fillId="0" borderId="37" xfId="0" applyFont="1" applyFill="1" applyBorder="1" applyAlignment="1" applyProtection="1">
      <alignment horizontal="left"/>
      <protection/>
    </xf>
    <xf numFmtId="0" fontId="47" fillId="0" borderId="68" xfId="0" applyFont="1" applyFill="1" applyBorder="1" applyAlignment="1" applyProtection="1">
      <alignment horizontal="left"/>
      <protection/>
    </xf>
    <xf numFmtId="0" fontId="47" fillId="0" borderId="69" xfId="0" applyFont="1" applyFill="1" applyBorder="1" applyAlignment="1" applyProtection="1">
      <alignment horizontal="left"/>
      <protection/>
    </xf>
    <xf numFmtId="0" fontId="47" fillId="0" borderId="70" xfId="0" applyFont="1" applyFill="1" applyBorder="1" applyAlignment="1" applyProtection="1">
      <alignment horizontal="left"/>
      <protection/>
    </xf>
    <xf numFmtId="0" fontId="47" fillId="0" borderId="71" xfId="0" applyFont="1" applyFill="1" applyBorder="1" applyAlignment="1" applyProtection="1">
      <alignment horizontal="left"/>
      <protection/>
    </xf>
    <xf numFmtId="0" fontId="47" fillId="0" borderId="61" xfId="0" applyFont="1" applyFill="1" applyBorder="1" applyAlignment="1" applyProtection="1">
      <alignment horizontal="left"/>
      <protection/>
    </xf>
    <xf numFmtId="0" fontId="47" fillId="0" borderId="72" xfId="0" applyFont="1" applyFill="1" applyBorder="1" applyAlignment="1" applyProtection="1">
      <alignment horizontal="left"/>
      <protection/>
    </xf>
    <xf numFmtId="0" fontId="47" fillId="0" borderId="60" xfId="0" applyFont="1" applyFill="1" applyBorder="1" applyAlignment="1" applyProtection="1">
      <alignment horizontal="left"/>
      <protection/>
    </xf>
    <xf numFmtId="0" fontId="47" fillId="0" borderId="73" xfId="0" applyFont="1" applyFill="1" applyBorder="1" applyAlignment="1" applyProtection="1">
      <alignment horizontal="left"/>
      <protection/>
    </xf>
    <xf numFmtId="0" fontId="47" fillId="0" borderId="47" xfId="0" applyFont="1" applyFill="1" applyBorder="1" applyAlignment="1" applyProtection="1">
      <alignment horizontal="left"/>
      <protection/>
    </xf>
    <xf numFmtId="0" fontId="47" fillId="0" borderId="62" xfId="0" applyFont="1" applyFill="1" applyBorder="1" applyAlignment="1" applyProtection="1">
      <alignment horizontal="left"/>
      <protection/>
    </xf>
    <xf numFmtId="0" fontId="47" fillId="0" borderId="63" xfId="0" applyFont="1" applyFill="1" applyBorder="1" applyAlignment="1" applyProtection="1">
      <alignment horizontal="left"/>
      <protection/>
    </xf>
    <xf numFmtId="0" fontId="47" fillId="0" borderId="57" xfId="0" applyFont="1" applyFill="1" applyBorder="1" applyAlignment="1" applyProtection="1">
      <alignment horizontal="left"/>
      <protection/>
    </xf>
    <xf numFmtId="0" fontId="47" fillId="0" borderId="64" xfId="0" applyFont="1" applyFill="1" applyBorder="1" applyAlignment="1" applyProtection="1">
      <alignment horizontal="left"/>
      <protection/>
    </xf>
    <xf numFmtId="3" fontId="47" fillId="0" borderId="74" xfId="0" applyNumberFormat="1" applyFont="1" applyFill="1" applyBorder="1" applyAlignment="1" applyProtection="1">
      <alignment horizontal="center"/>
      <protection/>
    </xf>
    <xf numFmtId="3" fontId="47" fillId="0" borderId="75" xfId="0" applyNumberFormat="1" applyFont="1" applyFill="1" applyBorder="1" applyAlignment="1" applyProtection="1">
      <alignment horizontal="center"/>
      <protection/>
    </xf>
    <xf numFmtId="3" fontId="47" fillId="0" borderId="76" xfId="0" applyNumberFormat="1" applyFont="1" applyFill="1" applyBorder="1" applyAlignment="1" applyProtection="1">
      <alignment horizontal="center"/>
      <protection/>
    </xf>
    <xf numFmtId="3" fontId="47" fillId="0" borderId="77" xfId="0" applyNumberFormat="1" applyFont="1" applyFill="1" applyBorder="1" applyAlignment="1" applyProtection="1">
      <alignment horizontal="center"/>
      <protection/>
    </xf>
    <xf numFmtId="3" fontId="47" fillId="0" borderId="78" xfId="0" applyNumberFormat="1" applyFont="1" applyFill="1" applyBorder="1" applyAlignment="1" applyProtection="1">
      <alignment horizontal="center"/>
      <protection/>
    </xf>
    <xf numFmtId="3" fontId="47" fillId="0" borderId="10" xfId="0" applyNumberFormat="1" applyFont="1" applyFill="1" applyBorder="1" applyAlignment="1" applyProtection="1">
      <alignment horizontal="center"/>
      <protection/>
    </xf>
    <xf numFmtId="3" fontId="47" fillId="0" borderId="27" xfId="0" applyNumberFormat="1" applyFont="1" applyFill="1" applyBorder="1" applyAlignment="1" applyProtection="1">
      <alignment horizontal="center"/>
      <protection/>
    </xf>
    <xf numFmtId="3" fontId="47" fillId="0" borderId="79" xfId="0" applyNumberFormat="1" applyFont="1" applyFill="1" applyBorder="1" applyAlignment="1" applyProtection="1">
      <alignment horizontal="center"/>
      <protection/>
    </xf>
    <xf numFmtId="3" fontId="47" fillId="0" borderId="80" xfId="0" applyNumberFormat="1" applyFont="1" applyFill="1" applyBorder="1" applyAlignment="1" applyProtection="1">
      <alignment horizontal="center"/>
      <protection/>
    </xf>
    <xf numFmtId="3" fontId="47" fillId="0" borderId="81" xfId="0" applyNumberFormat="1" applyFont="1" applyFill="1" applyBorder="1" applyAlignment="1" applyProtection="1">
      <alignment horizontal="center"/>
      <protection/>
    </xf>
    <xf numFmtId="3" fontId="47" fillId="0" borderId="82" xfId="0" applyNumberFormat="1" applyFont="1" applyFill="1" applyBorder="1" applyAlignment="1" applyProtection="1">
      <alignment horizontal="center"/>
      <protection/>
    </xf>
    <xf numFmtId="3" fontId="47" fillId="0" borderId="83" xfId="0" applyNumberFormat="1" applyFont="1" applyFill="1" applyBorder="1" applyAlignment="1" applyProtection="1">
      <alignment horizontal="center"/>
      <protection/>
    </xf>
    <xf numFmtId="0" fontId="47" fillId="0" borderId="69" xfId="0" applyFont="1" applyFill="1" applyBorder="1" applyAlignment="1" applyProtection="1">
      <alignment horizontal="left" vertical="center"/>
      <protection/>
    </xf>
    <xf numFmtId="0" fontId="47" fillId="0" borderId="70" xfId="0" applyFont="1" applyFill="1" applyBorder="1" applyAlignment="1" applyProtection="1">
      <alignment horizontal="left" vertical="center"/>
      <protection/>
    </xf>
    <xf numFmtId="0" fontId="47" fillId="0" borderId="71" xfId="0" applyFont="1" applyFill="1" applyBorder="1" applyAlignment="1" applyProtection="1">
      <alignment horizontal="left" vertical="center"/>
      <protection/>
    </xf>
    <xf numFmtId="0" fontId="47" fillId="0" borderId="45" xfId="0" applyFont="1" applyFill="1" applyBorder="1" applyAlignment="1" applyProtection="1">
      <alignment horizontal="left" vertical="center"/>
      <protection/>
    </xf>
    <xf numFmtId="0" fontId="47" fillId="0" borderId="84" xfId="0" applyFont="1" applyFill="1" applyBorder="1" applyAlignment="1" applyProtection="1">
      <alignment horizontal="left" vertical="center"/>
      <protection/>
    </xf>
    <xf numFmtId="0" fontId="0" fillId="34" borderId="42" xfId="0" applyFill="1" applyBorder="1" applyAlignment="1" applyProtection="1">
      <alignment horizontal="left" vertical="center" indent="1"/>
      <protection/>
    </xf>
    <xf numFmtId="0" fontId="0" fillId="0" borderId="85" xfId="0" applyFill="1" applyBorder="1" applyAlignment="1" applyProtection="1">
      <alignment horizontal="left" vertical="center" indent="1"/>
      <protection/>
    </xf>
    <xf numFmtId="0" fontId="7" fillId="0" borderId="86" xfId="0" applyFont="1" applyBorder="1" applyAlignment="1" applyProtection="1">
      <alignment horizontal="left" vertical="center" wrapText="1"/>
      <protection/>
    </xf>
    <xf numFmtId="0" fontId="0" fillId="34" borderId="87" xfId="0" applyFill="1" applyBorder="1" applyAlignment="1" applyProtection="1">
      <alignment horizontal="left" vertical="center" indent="1"/>
      <protection/>
    </xf>
    <xf numFmtId="0" fontId="0" fillId="34" borderId="88" xfId="0" applyFill="1" applyBorder="1" applyAlignment="1" applyProtection="1">
      <alignment horizontal="left" vertical="center" indent="1"/>
      <protection/>
    </xf>
    <xf numFmtId="0" fontId="0" fillId="34" borderId="89" xfId="0" applyFill="1" applyBorder="1" applyAlignment="1" applyProtection="1">
      <alignment horizontal="left" vertical="center" indent="1"/>
      <protection/>
    </xf>
    <xf numFmtId="0" fontId="0" fillId="0" borderId="39" xfId="0" applyFill="1" applyBorder="1" applyAlignment="1" applyProtection="1">
      <alignment horizontal="left" vertical="center" indent="1"/>
      <protection/>
    </xf>
    <xf numFmtId="0" fontId="46" fillId="12" borderId="0" xfId="0" applyFont="1" applyFill="1" applyBorder="1" applyAlignment="1" applyProtection="1">
      <alignment horizontal="center" vertical="center" wrapText="1"/>
      <protection/>
    </xf>
    <xf numFmtId="3" fontId="47" fillId="0" borderId="90" xfId="0" applyNumberFormat="1" applyFont="1" applyFill="1" applyBorder="1" applyAlignment="1" applyProtection="1">
      <alignment horizontal="center"/>
      <protection/>
    </xf>
    <xf numFmtId="0" fontId="47" fillId="0" borderId="91" xfId="0" applyFont="1" applyFill="1" applyBorder="1" applyAlignment="1" applyProtection="1">
      <alignment horizontal="center" vertical="center"/>
      <protection/>
    </xf>
    <xf numFmtId="0" fontId="47" fillId="0" borderId="28" xfId="0" applyFont="1" applyFill="1" applyBorder="1" applyAlignment="1" applyProtection="1">
      <alignment horizontal="center" vertical="center"/>
      <protection/>
    </xf>
    <xf numFmtId="0" fontId="47" fillId="0" borderId="92" xfId="0" applyFont="1" applyFill="1" applyBorder="1" applyAlignment="1" applyProtection="1">
      <alignment horizontal="center" vertical="center"/>
      <protection/>
    </xf>
    <xf numFmtId="0" fontId="47" fillId="0" borderId="93" xfId="0" applyFont="1" applyFill="1" applyBorder="1" applyAlignment="1" applyProtection="1">
      <alignment horizontal="center" vertical="center"/>
      <protection/>
    </xf>
    <xf numFmtId="0" fontId="47" fillId="0" borderId="94" xfId="0" applyFont="1" applyFill="1" applyBorder="1" applyAlignment="1" applyProtection="1">
      <alignment horizontal="center" vertical="center"/>
      <protection/>
    </xf>
    <xf numFmtId="0" fontId="47" fillId="0" borderId="95" xfId="0" applyFont="1" applyFill="1" applyBorder="1" applyAlignment="1" applyProtection="1">
      <alignment horizontal="center" vertical="center"/>
      <protection/>
    </xf>
    <xf numFmtId="0" fontId="47" fillId="0" borderId="96" xfId="0" applyFont="1" applyFill="1" applyBorder="1" applyAlignment="1" applyProtection="1">
      <alignment horizontal="center" vertical="center"/>
      <protection/>
    </xf>
    <xf numFmtId="0" fontId="47" fillId="0" borderId="97" xfId="0" applyFont="1" applyFill="1" applyBorder="1" applyAlignment="1" applyProtection="1">
      <alignment horizontal="center" vertical="center"/>
      <protection/>
    </xf>
    <xf numFmtId="0" fontId="47" fillId="0" borderId="98" xfId="0" applyFont="1" applyFill="1" applyBorder="1" applyAlignment="1" applyProtection="1">
      <alignment horizontal="center" vertical="center"/>
      <protection/>
    </xf>
    <xf numFmtId="0" fontId="47" fillId="0" borderId="99" xfId="0" applyFont="1" applyFill="1" applyBorder="1" applyAlignment="1" applyProtection="1">
      <alignment horizontal="center" vertical="center"/>
      <protection/>
    </xf>
    <xf numFmtId="0" fontId="47" fillId="0" borderId="100" xfId="0" applyFont="1" applyFill="1" applyBorder="1" applyAlignment="1" applyProtection="1">
      <alignment horizontal="center" vertical="center"/>
      <protection/>
    </xf>
    <xf numFmtId="0" fontId="47" fillId="0" borderId="52" xfId="0" applyFont="1" applyFill="1" applyBorder="1" applyAlignment="1" applyProtection="1">
      <alignment horizontal="center" vertical="center"/>
      <protection/>
    </xf>
    <xf numFmtId="0" fontId="47" fillId="0" borderId="53" xfId="0" applyFont="1" applyFill="1" applyBorder="1" applyAlignment="1" applyProtection="1">
      <alignment horizontal="center" vertical="center"/>
      <protection/>
    </xf>
    <xf numFmtId="0" fontId="47" fillId="0" borderId="101" xfId="0" applyFont="1" applyFill="1" applyBorder="1" applyAlignment="1" applyProtection="1">
      <alignment horizontal="center" vertical="center"/>
      <protection/>
    </xf>
    <xf numFmtId="0" fontId="47" fillId="0" borderId="102" xfId="0" applyFont="1" applyFill="1" applyBorder="1" applyAlignment="1" applyProtection="1">
      <alignment horizontal="center" vertical="center"/>
      <protection/>
    </xf>
    <xf numFmtId="0" fontId="47" fillId="0" borderId="103" xfId="0" applyFont="1" applyFill="1" applyBorder="1" applyAlignment="1" applyProtection="1">
      <alignment horizontal="center" vertical="center"/>
      <protection/>
    </xf>
    <xf numFmtId="0" fontId="47" fillId="0" borderId="104" xfId="0" applyFont="1" applyFill="1" applyBorder="1" applyAlignment="1" applyProtection="1">
      <alignment horizontal="center" vertical="center"/>
      <protection/>
    </xf>
    <xf numFmtId="0" fontId="47" fillId="0" borderId="105" xfId="0" applyFont="1" applyFill="1" applyBorder="1" applyAlignment="1" applyProtection="1">
      <alignment horizontal="center" vertical="center"/>
      <protection/>
    </xf>
    <xf numFmtId="0" fontId="47" fillId="0" borderId="70" xfId="0" applyFont="1" applyFill="1" applyBorder="1" applyAlignment="1" applyProtection="1">
      <alignment horizontal="center" vertical="center"/>
      <protection/>
    </xf>
    <xf numFmtId="0" fontId="16" fillId="39" borderId="0" xfId="0" applyFont="1" applyFill="1" applyBorder="1" applyAlignment="1">
      <alignment horizontal="center" vertical="top" wrapText="1" shrinkToFit="1"/>
    </xf>
    <xf numFmtId="0" fontId="0" fillId="0" borderId="0" xfId="0" applyAlignment="1">
      <alignment horizontal="center" vertical="top" wrapText="1" shrinkToFit="1"/>
    </xf>
    <xf numFmtId="0" fontId="47" fillId="0" borderId="61" xfId="0" applyFont="1" applyFill="1" applyBorder="1" applyAlignment="1" applyProtection="1">
      <alignment horizontal="left" vertical="center"/>
      <protection/>
    </xf>
    <xf numFmtId="0" fontId="46" fillId="12" borderId="49" xfId="42" applyNumberFormat="1" applyFont="1" applyFill="1" applyBorder="1" applyAlignment="1" applyProtection="1">
      <alignment horizontal="center" vertical="center"/>
      <protection/>
    </xf>
    <xf numFmtId="0" fontId="46" fillId="12" borderId="45" xfId="42" applyNumberFormat="1" applyFont="1" applyFill="1" applyBorder="1" applyAlignment="1" applyProtection="1">
      <alignment horizontal="center" vertical="center"/>
      <protection/>
    </xf>
    <xf numFmtId="0" fontId="46" fillId="12" borderId="96" xfId="42" applyNumberFormat="1" applyFont="1" applyFill="1" applyBorder="1" applyAlignment="1" applyProtection="1">
      <alignment horizontal="center" vertical="center"/>
      <protection/>
    </xf>
    <xf numFmtId="0" fontId="46" fillId="12" borderId="101" xfId="42" applyNumberFormat="1" applyFont="1" applyFill="1" applyBorder="1" applyAlignment="1" applyProtection="1">
      <alignment horizontal="center" vertical="center"/>
      <protection/>
    </xf>
    <xf numFmtId="0" fontId="46" fillId="12" borderId="106" xfId="42" applyNumberFormat="1" applyFont="1" applyFill="1" applyBorder="1" applyAlignment="1" applyProtection="1">
      <alignment horizontal="center" vertical="center"/>
      <protection/>
    </xf>
    <xf numFmtId="0" fontId="47" fillId="0" borderId="65" xfId="0" applyFont="1" applyFill="1" applyBorder="1" applyAlignment="1" applyProtection="1">
      <alignment horizontal="center" vertical="center"/>
      <protection/>
    </xf>
    <xf numFmtId="0" fontId="47" fillId="0" borderId="66" xfId="0" applyFont="1" applyFill="1" applyBorder="1" applyAlignment="1" applyProtection="1">
      <alignment horizontal="center" vertical="center"/>
      <protection/>
    </xf>
    <xf numFmtId="0" fontId="47" fillId="0" borderId="54" xfId="0" applyFont="1" applyFill="1" applyBorder="1" applyAlignment="1" applyProtection="1">
      <alignment horizontal="center" vertical="center"/>
      <protection/>
    </xf>
    <xf numFmtId="0" fontId="47" fillId="0" borderId="75" xfId="0" applyFont="1" applyFill="1" applyBorder="1" applyAlignment="1">
      <alignment/>
    </xf>
    <xf numFmtId="0" fontId="47" fillId="0" borderId="76" xfId="0" applyFont="1" applyFill="1" applyBorder="1" applyAlignment="1">
      <alignment/>
    </xf>
    <xf numFmtId="0" fontId="47" fillId="0" borderId="69" xfId="0" applyFont="1" applyFill="1" applyBorder="1" applyAlignment="1" applyProtection="1">
      <alignment horizontal="center" vertical="center"/>
      <protection/>
    </xf>
    <xf numFmtId="0" fontId="47" fillId="0" borderId="10" xfId="0" applyFont="1" applyFill="1" applyBorder="1" applyAlignment="1">
      <alignment/>
    </xf>
    <xf numFmtId="0" fontId="47" fillId="0" borderId="27" xfId="0" applyFont="1" applyFill="1" applyBorder="1" applyAlignment="1">
      <alignment/>
    </xf>
    <xf numFmtId="0" fontId="47" fillId="0" borderId="107" xfId="0" applyFont="1" applyFill="1" applyBorder="1" applyAlignment="1">
      <alignment/>
    </xf>
    <xf numFmtId="0" fontId="47" fillId="0" borderId="108" xfId="0" applyFont="1" applyFill="1" applyBorder="1" applyAlignment="1">
      <alignment/>
    </xf>
    <xf numFmtId="0" fontId="47" fillId="0" borderId="71" xfId="0" applyFont="1" applyFill="1" applyBorder="1" applyAlignment="1" applyProtection="1">
      <alignment horizontal="center" vertical="center"/>
      <protection/>
    </xf>
    <xf numFmtId="0" fontId="47" fillId="0" borderId="81" xfId="0" applyFont="1" applyFill="1" applyBorder="1" applyAlignment="1">
      <alignment/>
    </xf>
    <xf numFmtId="0" fontId="47" fillId="0" borderId="82" xfId="0" applyFont="1" applyFill="1" applyBorder="1" applyAlignment="1">
      <alignment/>
    </xf>
    <xf numFmtId="1" fontId="14" fillId="0" borderId="0" xfId="0" applyNumberFormat="1" applyFont="1" applyBorder="1" applyAlignment="1" applyProtection="1">
      <alignment horizontal="center" vertical="center"/>
      <protection/>
    </xf>
    <xf numFmtId="3" fontId="47" fillId="0" borderId="74" xfId="0" applyNumberFormat="1" applyFont="1" applyFill="1" applyBorder="1" applyAlignment="1" applyProtection="1">
      <alignment horizontal="center"/>
      <protection hidden="1"/>
    </xf>
    <xf numFmtId="3" fontId="47" fillId="0" borderId="75" xfId="0" applyNumberFormat="1" applyFont="1" applyFill="1" applyBorder="1" applyAlignment="1" applyProtection="1">
      <alignment horizontal="center"/>
      <protection hidden="1"/>
    </xf>
    <xf numFmtId="3" fontId="47" fillId="0" borderId="76" xfId="0" applyNumberFormat="1" applyFont="1" applyFill="1" applyBorder="1" applyAlignment="1" applyProtection="1">
      <alignment horizontal="center"/>
      <protection hidden="1"/>
    </xf>
    <xf numFmtId="3" fontId="47" fillId="0" borderId="77" xfId="0" applyNumberFormat="1" applyFont="1" applyFill="1" applyBorder="1" applyAlignment="1" applyProtection="1">
      <alignment horizontal="center"/>
      <protection hidden="1"/>
    </xf>
    <xf numFmtId="3" fontId="47" fillId="0" borderId="78" xfId="0" applyNumberFormat="1" applyFont="1" applyFill="1" applyBorder="1" applyAlignment="1" applyProtection="1">
      <alignment horizontal="center"/>
      <protection hidden="1"/>
    </xf>
    <xf numFmtId="3" fontId="47" fillId="0" borderId="10" xfId="0" applyNumberFormat="1" applyFont="1" applyFill="1" applyBorder="1" applyAlignment="1" applyProtection="1">
      <alignment horizontal="center"/>
      <protection hidden="1"/>
    </xf>
    <xf numFmtId="3" fontId="47" fillId="0" borderId="27" xfId="0" applyNumberFormat="1" applyFont="1" applyFill="1" applyBorder="1" applyAlignment="1" applyProtection="1">
      <alignment horizontal="center"/>
      <protection hidden="1"/>
    </xf>
    <xf numFmtId="3" fontId="47" fillId="0" borderId="79" xfId="0" applyNumberFormat="1" applyFont="1" applyFill="1" applyBorder="1" applyAlignment="1" applyProtection="1">
      <alignment horizontal="center"/>
      <protection hidden="1"/>
    </xf>
    <xf numFmtId="3" fontId="75" fillId="0" borderId="78" xfId="0" applyNumberFormat="1" applyFont="1" applyFill="1" applyBorder="1" applyAlignment="1" applyProtection="1">
      <alignment horizontal="center"/>
      <protection hidden="1"/>
    </xf>
    <xf numFmtId="3" fontId="75" fillId="0" borderId="10" xfId="0" applyNumberFormat="1" applyFont="1" applyFill="1" applyBorder="1" applyAlignment="1" applyProtection="1">
      <alignment horizontal="center"/>
      <protection hidden="1"/>
    </xf>
    <xf numFmtId="3" fontId="75" fillId="0" borderId="27" xfId="0" applyNumberFormat="1" applyFont="1" applyFill="1" applyBorder="1" applyAlignment="1" applyProtection="1">
      <alignment horizontal="center"/>
      <protection hidden="1"/>
    </xf>
    <xf numFmtId="3" fontId="75" fillId="0" borderId="79" xfId="0" applyNumberFormat="1" applyFont="1" applyFill="1" applyBorder="1" applyAlignment="1" applyProtection="1">
      <alignment horizontal="center"/>
      <protection hidden="1"/>
    </xf>
    <xf numFmtId="3" fontId="47" fillId="0" borderId="80" xfId="0" applyNumberFormat="1" applyFont="1" applyFill="1" applyBorder="1" applyAlignment="1" applyProtection="1">
      <alignment horizontal="center"/>
      <protection hidden="1"/>
    </xf>
    <xf numFmtId="3" fontId="47" fillId="0" borderId="81" xfId="0" applyNumberFormat="1" applyFont="1" applyFill="1" applyBorder="1" applyAlignment="1" applyProtection="1">
      <alignment horizontal="center"/>
      <protection hidden="1"/>
    </xf>
    <xf numFmtId="3" fontId="47" fillId="0" borderId="82" xfId="0" applyNumberFormat="1" applyFont="1" applyFill="1" applyBorder="1" applyAlignment="1" applyProtection="1">
      <alignment horizontal="center"/>
      <protection hidden="1"/>
    </xf>
    <xf numFmtId="3" fontId="47" fillId="0" borderId="83" xfId="0" applyNumberFormat="1" applyFont="1" applyFill="1" applyBorder="1" applyAlignment="1" applyProtection="1">
      <alignment horizontal="center"/>
      <protection hidden="1"/>
    </xf>
    <xf numFmtId="3" fontId="47" fillId="0" borderId="109" xfId="0" applyNumberFormat="1" applyFont="1" applyFill="1" applyBorder="1" applyAlignment="1" applyProtection="1">
      <alignment horizontal="center"/>
      <protection hidden="1"/>
    </xf>
    <xf numFmtId="3" fontId="47" fillId="0" borderId="110" xfId="0" applyNumberFormat="1" applyFont="1" applyFill="1" applyBorder="1" applyAlignment="1" applyProtection="1">
      <alignment horizontal="center"/>
      <protection hidden="1"/>
    </xf>
    <xf numFmtId="3" fontId="47" fillId="0" borderId="111" xfId="0" applyNumberFormat="1" applyFont="1" applyFill="1" applyBorder="1" applyAlignment="1" applyProtection="1">
      <alignment horizontal="center"/>
      <protection hidden="1"/>
    </xf>
    <xf numFmtId="3" fontId="47" fillId="0" borderId="112" xfId="0" applyNumberFormat="1" applyFont="1" applyFill="1" applyBorder="1" applyAlignment="1" applyProtection="1">
      <alignment horizontal="center"/>
      <protection hidden="1"/>
    </xf>
    <xf numFmtId="3" fontId="47" fillId="0" borderId="107" xfId="0" applyNumberFormat="1" applyFont="1" applyFill="1" applyBorder="1" applyAlignment="1" applyProtection="1">
      <alignment horizontal="center"/>
      <protection hidden="1"/>
    </xf>
    <xf numFmtId="3" fontId="47" fillId="0" borderId="108" xfId="0" applyNumberFormat="1" applyFont="1" applyFill="1" applyBorder="1" applyAlignment="1" applyProtection="1">
      <alignment horizontal="center"/>
      <protection hidden="1"/>
    </xf>
    <xf numFmtId="3" fontId="47" fillId="0" borderId="113" xfId="0" applyNumberFormat="1" applyFont="1" applyFill="1" applyBorder="1" applyAlignment="1" applyProtection="1">
      <alignment horizontal="center"/>
      <protection hidden="1"/>
    </xf>
    <xf numFmtId="3" fontId="47" fillId="0" borderId="114" xfId="0" applyNumberFormat="1" applyFont="1" applyFill="1" applyBorder="1" applyAlignment="1" applyProtection="1">
      <alignment horizontal="center"/>
      <protection hidden="1"/>
    </xf>
    <xf numFmtId="3" fontId="47" fillId="0" borderId="74" xfId="0" applyNumberFormat="1" applyFont="1" applyFill="1" applyBorder="1" applyAlignment="1" applyProtection="1">
      <alignment horizontal="center" vertical="center"/>
      <protection hidden="1"/>
    </xf>
    <xf numFmtId="3" fontId="47" fillId="0" borderId="109" xfId="0" applyNumberFormat="1" applyFont="1" applyFill="1" applyBorder="1" applyAlignment="1" applyProtection="1">
      <alignment horizontal="center" vertical="center"/>
      <protection hidden="1"/>
    </xf>
    <xf numFmtId="3" fontId="47" fillId="0" borderId="75" xfId="0" applyNumberFormat="1" applyFont="1" applyFill="1" applyBorder="1" applyAlignment="1" applyProtection="1">
      <alignment horizontal="center" vertical="center"/>
      <protection hidden="1"/>
    </xf>
    <xf numFmtId="3" fontId="47" fillId="0" borderId="111" xfId="0" applyNumberFormat="1" applyFont="1" applyFill="1" applyBorder="1" applyAlignment="1" applyProtection="1">
      <alignment horizontal="center" vertical="center"/>
      <protection hidden="1"/>
    </xf>
    <xf numFmtId="3" fontId="47" fillId="0" borderId="78" xfId="0" applyNumberFormat="1" applyFont="1" applyFill="1" applyBorder="1" applyAlignment="1" applyProtection="1">
      <alignment horizontal="center" vertical="center"/>
      <protection hidden="1"/>
    </xf>
    <xf numFmtId="3" fontId="47" fillId="0" borderId="10" xfId="0" applyNumberFormat="1" applyFont="1" applyFill="1" applyBorder="1" applyAlignment="1" applyProtection="1">
      <alignment horizontal="center" vertical="center"/>
      <protection hidden="1"/>
    </xf>
    <xf numFmtId="3" fontId="47" fillId="0" borderId="79" xfId="0" applyNumberFormat="1" applyFont="1" applyFill="1" applyBorder="1" applyAlignment="1" applyProtection="1">
      <alignment horizontal="center" vertical="center"/>
      <protection hidden="1"/>
    </xf>
    <xf numFmtId="3" fontId="47" fillId="0" borderId="80" xfId="0" applyNumberFormat="1" applyFont="1" applyFill="1" applyBorder="1" applyAlignment="1" applyProtection="1">
      <alignment horizontal="center" vertical="center"/>
      <protection hidden="1"/>
    </xf>
    <xf numFmtId="3" fontId="47" fillId="0" borderId="81" xfId="0" applyNumberFormat="1" applyFont="1" applyFill="1" applyBorder="1" applyAlignment="1" applyProtection="1">
      <alignment horizontal="center" vertical="center"/>
      <protection hidden="1"/>
    </xf>
    <xf numFmtId="3" fontId="47" fillId="0" borderId="83" xfId="0" applyNumberFormat="1" applyFont="1" applyFill="1" applyBorder="1" applyAlignment="1" applyProtection="1">
      <alignment horizontal="center" vertical="center"/>
      <protection hidden="1"/>
    </xf>
    <xf numFmtId="3" fontId="47" fillId="0" borderId="112" xfId="0" applyNumberFormat="1" applyFont="1" applyFill="1" applyBorder="1" applyAlignment="1" applyProtection="1">
      <alignment horizontal="center" vertical="center"/>
      <protection hidden="1"/>
    </xf>
    <xf numFmtId="3" fontId="47" fillId="0" borderId="107" xfId="0" applyNumberFormat="1" applyFont="1" applyFill="1" applyBorder="1" applyAlignment="1" applyProtection="1">
      <alignment horizontal="center" vertical="center"/>
      <protection hidden="1"/>
    </xf>
    <xf numFmtId="3" fontId="47" fillId="0" borderId="113" xfId="0" applyNumberFormat="1" applyFont="1" applyFill="1" applyBorder="1" applyAlignment="1" applyProtection="1">
      <alignment horizontal="center" vertical="center"/>
      <protection hidden="1"/>
    </xf>
    <xf numFmtId="1" fontId="47" fillId="0" borderId="74" xfId="0" applyNumberFormat="1" applyFont="1" applyFill="1" applyBorder="1" applyAlignment="1" applyProtection="1">
      <alignment horizontal="center"/>
      <protection hidden="1"/>
    </xf>
    <xf numFmtId="1" fontId="47" fillId="0" borderId="109" xfId="0" applyNumberFormat="1" applyFont="1" applyFill="1" applyBorder="1" applyAlignment="1" applyProtection="1">
      <alignment horizontal="center"/>
      <protection hidden="1"/>
    </xf>
    <xf numFmtId="1" fontId="47" fillId="0" borderId="75" xfId="0" applyNumberFormat="1" applyFont="1" applyFill="1" applyBorder="1" applyAlignment="1" applyProtection="1">
      <alignment horizontal="center"/>
      <protection hidden="1"/>
    </xf>
    <xf numFmtId="1" fontId="47" fillId="0" borderId="111" xfId="0" applyNumberFormat="1" applyFont="1" applyFill="1" applyBorder="1" applyAlignment="1" applyProtection="1">
      <alignment horizontal="center"/>
      <protection hidden="1"/>
    </xf>
    <xf numFmtId="1" fontId="47" fillId="0" borderId="78" xfId="0" applyNumberFormat="1" applyFont="1" applyFill="1" applyBorder="1" applyAlignment="1" applyProtection="1">
      <alignment horizontal="center"/>
      <protection hidden="1"/>
    </xf>
    <xf numFmtId="1" fontId="47" fillId="0" borderId="10" xfId="0" applyNumberFormat="1" applyFont="1" applyFill="1" applyBorder="1" applyAlignment="1" applyProtection="1">
      <alignment horizontal="center"/>
      <protection hidden="1"/>
    </xf>
    <xf numFmtId="1" fontId="47" fillId="0" borderId="79" xfId="0" applyNumberFormat="1" applyFont="1" applyFill="1" applyBorder="1" applyAlignment="1" applyProtection="1">
      <alignment horizontal="center"/>
      <protection hidden="1"/>
    </xf>
    <xf numFmtId="1" fontId="47" fillId="0" borderId="80" xfId="0" applyNumberFormat="1" applyFont="1" applyFill="1" applyBorder="1" applyAlignment="1" applyProtection="1">
      <alignment horizontal="center"/>
      <protection hidden="1"/>
    </xf>
    <xf numFmtId="1" fontId="47" fillId="0" borderId="81" xfId="0" applyNumberFormat="1" applyFont="1" applyFill="1" applyBorder="1" applyAlignment="1" applyProtection="1">
      <alignment horizontal="center"/>
      <protection hidden="1"/>
    </xf>
    <xf numFmtId="1" fontId="47" fillId="0" borderId="83" xfId="0" applyNumberFormat="1" applyFont="1" applyFill="1" applyBorder="1" applyAlignment="1" applyProtection="1">
      <alignment horizontal="center"/>
      <protection hidden="1"/>
    </xf>
    <xf numFmtId="1" fontId="47" fillId="0" borderId="114" xfId="0" applyNumberFormat="1" applyFont="1" applyFill="1" applyBorder="1" applyAlignment="1" applyProtection="1">
      <alignment horizontal="center"/>
      <protection hidden="1"/>
    </xf>
    <xf numFmtId="1" fontId="47" fillId="0" borderId="115" xfId="0" applyNumberFormat="1" applyFont="1" applyFill="1" applyBorder="1" applyAlignment="1" applyProtection="1">
      <alignment horizontal="center"/>
      <protection hidden="1"/>
    </xf>
    <xf numFmtId="1" fontId="47" fillId="0" borderId="116" xfId="0" applyNumberFormat="1" applyFont="1" applyFill="1" applyBorder="1" applyAlignment="1" applyProtection="1">
      <alignment horizontal="center"/>
      <protection hidden="1"/>
    </xf>
    <xf numFmtId="1" fontId="47" fillId="0" borderId="117" xfId="0" applyNumberFormat="1" applyFont="1" applyFill="1" applyBorder="1" applyAlignment="1" applyProtection="1">
      <alignment horizontal="center"/>
      <protection hidden="1"/>
    </xf>
    <xf numFmtId="1" fontId="47" fillId="0" borderId="118" xfId="0" applyNumberFormat="1" applyFont="1" applyFill="1" applyBorder="1" applyAlignment="1" applyProtection="1">
      <alignment horizontal="center"/>
      <protection hidden="1"/>
    </xf>
    <xf numFmtId="1" fontId="47" fillId="0" borderId="90" xfId="0" applyNumberFormat="1" applyFont="1" applyFill="1" applyBorder="1" applyAlignment="1" applyProtection="1">
      <alignment horizontal="center"/>
      <protection hidden="1"/>
    </xf>
    <xf numFmtId="1" fontId="47" fillId="0" borderId="119" xfId="0" applyNumberFormat="1" applyFont="1" applyFill="1" applyBorder="1" applyAlignment="1" applyProtection="1">
      <alignment horizontal="center"/>
      <protection hidden="1"/>
    </xf>
    <xf numFmtId="1" fontId="47" fillId="0" borderId="107" xfId="0" applyNumberFormat="1" applyFont="1" applyFill="1" applyBorder="1" applyAlignment="1" applyProtection="1">
      <alignment horizontal="center"/>
      <protection hidden="1"/>
    </xf>
    <xf numFmtId="1" fontId="47" fillId="0" borderId="113" xfId="0" applyNumberFormat="1" applyFont="1" applyFill="1" applyBorder="1" applyAlignment="1" applyProtection="1">
      <alignment horizontal="center"/>
      <protection hidden="1"/>
    </xf>
    <xf numFmtId="1" fontId="47" fillId="0" borderId="112" xfId="0" applyNumberFormat="1" applyFont="1" applyFill="1" applyBorder="1" applyAlignment="1" applyProtection="1">
      <alignment horizontal="center"/>
      <protection hidden="1"/>
    </xf>
    <xf numFmtId="1" fontId="47" fillId="0" borderId="110" xfId="0" applyNumberFormat="1" applyFont="1" applyFill="1" applyBorder="1" applyAlignment="1" applyProtection="1">
      <alignment horizontal="center"/>
      <protection hidden="1"/>
    </xf>
    <xf numFmtId="1" fontId="47" fillId="0" borderId="27" xfId="0" applyNumberFormat="1" applyFont="1" applyFill="1" applyBorder="1" applyAlignment="1" applyProtection="1">
      <alignment horizontal="center"/>
      <protection hidden="1"/>
    </xf>
    <xf numFmtId="1" fontId="47" fillId="0" borderId="120" xfId="0" applyNumberFormat="1" applyFont="1" applyFill="1" applyBorder="1" applyAlignment="1" applyProtection="1">
      <alignment horizontal="center"/>
      <protection hidden="1"/>
    </xf>
    <xf numFmtId="1" fontId="47" fillId="0" borderId="82" xfId="0" applyNumberFormat="1" applyFont="1" applyFill="1" applyBorder="1" applyAlignment="1" applyProtection="1">
      <alignment horizontal="center"/>
      <protection hidden="1"/>
    </xf>
    <xf numFmtId="1" fontId="47" fillId="0" borderId="77" xfId="0" applyNumberFormat="1" applyFont="1" applyFill="1" applyBorder="1" applyAlignment="1" applyProtection="1">
      <alignment horizontal="center"/>
      <protection hidden="1"/>
    </xf>
    <xf numFmtId="191" fontId="47" fillId="0" borderId="69" xfId="0" applyNumberFormat="1" applyFont="1" applyFill="1" applyBorder="1" applyAlignment="1" applyProtection="1">
      <alignment horizontal="center" vertical="center"/>
      <protection hidden="1"/>
    </xf>
    <xf numFmtId="191" fontId="47" fillId="0" borderId="70" xfId="0" applyNumberFormat="1" applyFont="1" applyFill="1" applyBorder="1" applyAlignment="1" applyProtection="1">
      <alignment horizontal="center" vertical="center"/>
      <protection hidden="1"/>
    </xf>
    <xf numFmtId="191" fontId="47" fillId="0" borderId="71" xfId="0" applyNumberFormat="1" applyFont="1" applyFill="1" applyBorder="1" applyAlignment="1" applyProtection="1">
      <alignment horizontal="center" vertical="center"/>
      <protection hidden="1"/>
    </xf>
    <xf numFmtId="191" fontId="47" fillId="0" borderId="97" xfId="0" applyNumberFormat="1" applyFont="1" applyFill="1" applyBorder="1" applyAlignment="1" applyProtection="1">
      <alignment horizontal="center" vertical="center"/>
      <protection hidden="1"/>
    </xf>
    <xf numFmtId="191" fontId="47" fillId="0" borderId="98" xfId="0" applyNumberFormat="1" applyFont="1" applyFill="1" applyBorder="1" applyAlignment="1" applyProtection="1">
      <alignment horizontal="center" vertical="center"/>
      <protection hidden="1"/>
    </xf>
    <xf numFmtId="191" fontId="47" fillId="0" borderId="99" xfId="0" applyNumberFormat="1" applyFont="1" applyFill="1" applyBorder="1" applyAlignment="1" applyProtection="1">
      <alignment horizontal="center" vertical="center"/>
      <protection hidden="1"/>
    </xf>
    <xf numFmtId="191" fontId="47" fillId="0" borderId="102" xfId="0" applyNumberFormat="1" applyFont="1" applyFill="1" applyBorder="1" applyAlignment="1" applyProtection="1">
      <alignment horizontal="center" vertical="center"/>
      <protection hidden="1"/>
    </xf>
    <xf numFmtId="1" fontId="47" fillId="0" borderId="121" xfId="0" applyNumberFormat="1" applyFont="1" applyFill="1" applyBorder="1" applyAlignment="1" applyProtection="1">
      <alignment horizontal="center"/>
      <protection hidden="1"/>
    </xf>
    <xf numFmtId="1" fontId="47" fillId="0" borderId="94" xfId="0" applyNumberFormat="1" applyFont="1" applyFill="1" applyBorder="1" applyAlignment="1" applyProtection="1">
      <alignment horizontal="center"/>
      <protection hidden="1"/>
    </xf>
    <xf numFmtId="1" fontId="47" fillId="0" borderId="99" xfId="0" applyNumberFormat="1" applyFont="1" applyFill="1" applyBorder="1" applyAlignment="1" applyProtection="1">
      <alignment horizontal="center"/>
      <protection hidden="1"/>
    </xf>
    <xf numFmtId="0" fontId="52" fillId="11" borderId="49" xfId="0" applyFont="1" applyFill="1" applyBorder="1" applyAlignment="1" applyProtection="1">
      <alignment horizontal="left" vertical="center"/>
      <protection/>
    </xf>
    <xf numFmtId="0" fontId="52" fillId="40" borderId="48" xfId="0" applyFont="1" applyFill="1" applyBorder="1" applyAlignment="1" applyProtection="1">
      <alignment horizontal="left" vertical="center"/>
      <protection/>
    </xf>
    <xf numFmtId="0" fontId="52" fillId="40" borderId="49" xfId="0" applyFont="1" applyFill="1" applyBorder="1" applyAlignment="1" applyProtection="1">
      <alignment horizontal="left" vertical="center"/>
      <protection/>
    </xf>
    <xf numFmtId="0" fontId="52" fillId="40" borderId="96" xfId="0" applyFont="1" applyFill="1" applyBorder="1" applyAlignment="1" applyProtection="1">
      <alignment horizontal="left" vertical="center"/>
      <protection/>
    </xf>
    <xf numFmtId="0" fontId="52" fillId="11" borderId="48" xfId="0" applyFont="1" applyFill="1" applyBorder="1" applyAlignment="1" applyProtection="1">
      <alignment horizontal="left" vertical="center"/>
      <protection/>
    </xf>
    <xf numFmtId="0" fontId="52" fillId="11" borderId="96" xfId="0" applyFont="1" applyFill="1" applyBorder="1" applyAlignment="1" applyProtection="1">
      <alignment horizontal="left" vertical="center"/>
      <protection/>
    </xf>
    <xf numFmtId="1" fontId="47" fillId="0" borderId="37" xfId="0" applyNumberFormat="1" applyFont="1" applyFill="1" applyBorder="1" applyAlignment="1" applyProtection="1">
      <alignment horizontal="center"/>
      <protection hidden="1"/>
    </xf>
    <xf numFmtId="1" fontId="47" fillId="0" borderId="28" xfId="0" applyNumberFormat="1" applyFont="1" applyFill="1" applyBorder="1" applyAlignment="1" applyProtection="1">
      <alignment horizontal="center"/>
      <protection hidden="1"/>
    </xf>
    <xf numFmtId="1" fontId="47" fillId="0" borderId="98" xfId="0" applyNumberFormat="1" applyFont="1" applyFill="1" applyBorder="1" applyAlignment="1" applyProtection="1">
      <alignment horizontal="center"/>
      <protection hidden="1"/>
    </xf>
    <xf numFmtId="1" fontId="47" fillId="0" borderId="78" xfId="0" applyNumberFormat="1" applyFont="1" applyFill="1" applyBorder="1" applyAlignment="1" applyProtection="1">
      <alignment horizontal="center"/>
      <protection hidden="1"/>
    </xf>
    <xf numFmtId="1" fontId="47" fillId="0" borderId="10" xfId="0" applyNumberFormat="1" applyFont="1" applyFill="1" applyBorder="1" applyAlignment="1" applyProtection="1">
      <alignment horizontal="center"/>
      <protection hidden="1"/>
    </xf>
    <xf numFmtId="1" fontId="47" fillId="0" borderId="79" xfId="0" applyNumberFormat="1" applyFont="1" applyFill="1" applyBorder="1" applyAlignment="1" applyProtection="1">
      <alignment horizontal="center"/>
      <protection hidden="1"/>
    </xf>
    <xf numFmtId="0" fontId="93" fillId="40" borderId="48" xfId="0" applyFont="1" applyFill="1" applyBorder="1" applyAlignment="1" applyProtection="1">
      <alignment horizontal="left" vertical="center"/>
      <protection/>
    </xf>
    <xf numFmtId="0" fontId="93" fillId="40" borderId="49" xfId="0" applyFont="1" applyFill="1" applyBorder="1" applyAlignment="1" applyProtection="1">
      <alignment horizontal="left" vertical="center"/>
      <protection/>
    </xf>
    <xf numFmtId="0" fontId="93" fillId="40" borderId="96" xfId="0" applyFont="1" applyFill="1" applyBorder="1" applyAlignment="1" applyProtection="1">
      <alignment horizontal="left" vertical="center"/>
      <protection/>
    </xf>
    <xf numFmtId="0" fontId="93" fillId="11" borderId="56" xfId="0" applyFont="1" applyFill="1" applyBorder="1" applyAlignment="1" applyProtection="1">
      <alignment horizontal="left" vertical="center"/>
      <protection/>
    </xf>
    <xf numFmtId="0" fontId="93" fillId="11" borderId="101" xfId="0" applyFont="1" applyFill="1" applyBorder="1" applyAlignment="1" applyProtection="1">
      <alignment horizontal="left" vertical="center"/>
      <protection/>
    </xf>
    <xf numFmtId="0" fontId="93" fillId="11" borderId="106" xfId="0" applyFont="1" applyFill="1" applyBorder="1" applyAlignment="1" applyProtection="1">
      <alignment horizontal="left" vertical="center"/>
      <protection/>
    </xf>
    <xf numFmtId="0" fontId="52" fillId="11" borderId="56" xfId="0" applyFont="1" applyFill="1" applyBorder="1" applyAlignment="1" applyProtection="1">
      <alignment horizontal="left" vertical="center"/>
      <protection/>
    </xf>
    <xf numFmtId="0" fontId="52" fillId="11" borderId="101" xfId="0" applyFont="1" applyFill="1" applyBorder="1" applyAlignment="1" applyProtection="1">
      <alignment horizontal="left" vertical="center"/>
      <protection/>
    </xf>
    <xf numFmtId="0" fontId="52" fillId="11" borderId="106" xfId="0" applyFont="1" applyFill="1" applyBorder="1" applyAlignment="1" applyProtection="1">
      <alignment horizontal="left" vertical="center"/>
      <protection/>
    </xf>
    <xf numFmtId="0" fontId="48" fillId="41" borderId="48" xfId="0" applyFont="1" applyFill="1" applyBorder="1" applyAlignment="1" applyProtection="1">
      <alignment horizontal="left" vertical="center"/>
      <protection/>
    </xf>
    <xf numFmtId="0" fontId="48" fillId="41" borderId="49" xfId="0" applyFont="1" applyFill="1" applyBorder="1" applyAlignment="1" applyProtection="1">
      <alignment horizontal="left" vertical="center"/>
      <protection/>
    </xf>
    <xf numFmtId="0" fontId="48" fillId="41" borderId="96" xfId="0" applyFont="1" applyFill="1" applyBorder="1" applyAlignment="1" applyProtection="1">
      <alignment horizontal="left" vertical="center"/>
      <protection/>
    </xf>
    <xf numFmtId="0" fontId="46" fillId="12" borderId="56" xfId="0" applyFont="1" applyFill="1" applyBorder="1" applyAlignment="1" applyProtection="1">
      <alignment horizontal="center" vertical="center" wrapText="1"/>
      <protection/>
    </xf>
    <xf numFmtId="0" fontId="46" fillId="12" borderId="61" xfId="0" applyFont="1" applyFill="1" applyBorder="1" applyAlignment="1" applyProtection="1">
      <alignment horizontal="center" vertical="center" wrapText="1"/>
      <protection/>
    </xf>
    <xf numFmtId="0" fontId="46" fillId="12" borderId="47" xfId="0" applyFont="1" applyFill="1" applyBorder="1" applyAlignment="1" applyProtection="1">
      <alignment horizontal="center" vertical="center"/>
      <protection/>
    </xf>
    <xf numFmtId="0" fontId="46" fillId="12" borderId="122" xfId="0" applyFont="1" applyFill="1" applyBorder="1" applyAlignment="1" applyProtection="1">
      <alignment horizontal="center" vertical="center"/>
      <protection/>
    </xf>
    <xf numFmtId="0" fontId="46" fillId="12" borderId="48" xfId="0" applyFont="1" applyFill="1" applyBorder="1" applyAlignment="1" applyProtection="1">
      <alignment horizontal="center" vertical="center" wrapText="1"/>
      <protection/>
    </xf>
    <xf numFmtId="0" fontId="46" fillId="12" borderId="49" xfId="0" applyFont="1" applyFill="1" applyBorder="1" applyAlignment="1" applyProtection="1">
      <alignment horizontal="center" vertical="center" wrapText="1"/>
      <protection/>
    </xf>
    <xf numFmtId="0" fontId="46" fillId="12" borderId="96" xfId="0" applyFont="1" applyFill="1" applyBorder="1" applyAlignment="1" applyProtection="1">
      <alignment horizontal="center" vertical="center" wrapText="1"/>
      <protection/>
    </xf>
    <xf numFmtId="0" fontId="48" fillId="42" borderId="48" xfId="0" applyFont="1" applyFill="1" applyBorder="1" applyAlignment="1" applyProtection="1">
      <alignment vertical="center"/>
      <protection/>
    </xf>
    <xf numFmtId="0" fontId="51" fillId="42" borderId="49" xfId="0" applyFont="1" applyFill="1" applyBorder="1" applyAlignment="1">
      <alignment/>
    </xf>
    <xf numFmtId="0" fontId="51" fillId="42" borderId="0" xfId="0" applyFont="1" applyFill="1" applyBorder="1" applyAlignment="1">
      <alignment/>
    </xf>
    <xf numFmtId="0" fontId="51" fillId="42" borderId="105" xfId="0" applyFont="1" applyFill="1" applyBorder="1" applyAlignment="1">
      <alignment/>
    </xf>
    <xf numFmtId="0" fontId="51" fillId="42" borderId="101" xfId="0" applyFont="1" applyFill="1" applyBorder="1" applyAlignment="1">
      <alignment/>
    </xf>
    <xf numFmtId="0" fontId="51" fillId="42" borderId="106" xfId="0" applyFont="1" applyFill="1" applyBorder="1" applyAlignment="1">
      <alignment/>
    </xf>
    <xf numFmtId="0" fontId="48" fillId="42" borderId="46" xfId="0" applyFont="1" applyFill="1" applyBorder="1" applyAlignment="1" applyProtection="1">
      <alignment vertical="center"/>
      <protection/>
    </xf>
    <xf numFmtId="0" fontId="48" fillId="42" borderId="49" xfId="0" applyFont="1" applyFill="1" applyBorder="1" applyAlignment="1">
      <alignment/>
    </xf>
    <xf numFmtId="0" fontId="48" fillId="42" borderId="96" xfId="0" applyFont="1" applyFill="1" applyBorder="1" applyAlignment="1">
      <alignment/>
    </xf>
    <xf numFmtId="0" fontId="48" fillId="42" borderId="49" xfId="0" applyFont="1" applyFill="1" applyBorder="1" applyAlignment="1" applyProtection="1">
      <alignment vertical="center"/>
      <protection/>
    </xf>
    <xf numFmtId="0" fontId="48" fillId="42" borderId="101" xfId="0" applyFont="1" applyFill="1" applyBorder="1" applyAlignment="1" applyProtection="1">
      <alignment vertical="center"/>
      <protection/>
    </xf>
    <xf numFmtId="0" fontId="48" fillId="42" borderId="106" xfId="0" applyFont="1" applyFill="1" applyBorder="1" applyAlignment="1" applyProtection="1">
      <alignment vertical="center"/>
      <protection/>
    </xf>
    <xf numFmtId="0" fontId="48" fillId="42" borderId="0" xfId="0" applyFont="1" applyFill="1" applyBorder="1" applyAlignment="1" applyProtection="1">
      <alignment vertical="center"/>
      <protection/>
    </xf>
    <xf numFmtId="0" fontId="48" fillId="42" borderId="105" xfId="0" applyFont="1" applyFill="1" applyBorder="1" applyAlignment="1" applyProtection="1">
      <alignment vertical="center"/>
      <protection/>
    </xf>
    <xf numFmtId="0" fontId="49" fillId="0" borderId="46" xfId="42" applyNumberFormat="1" applyFont="1" applyFill="1" applyBorder="1" applyAlignment="1" applyProtection="1">
      <alignment horizontal="center" vertical="center"/>
      <protection/>
    </xf>
    <xf numFmtId="0" fontId="49" fillId="0" borderId="49" xfId="42" applyNumberFormat="1" applyFont="1" applyFill="1" applyBorder="1" applyAlignment="1" applyProtection="1">
      <alignment horizontal="center" vertical="center"/>
      <protection/>
    </xf>
    <xf numFmtId="0" fontId="49" fillId="0" borderId="96" xfId="42" applyNumberFormat="1" applyFont="1" applyFill="1" applyBorder="1" applyAlignment="1" applyProtection="1">
      <alignment horizontal="center" vertical="center"/>
      <protection/>
    </xf>
    <xf numFmtId="0" fontId="46" fillId="12" borderId="50" xfId="0" applyFont="1" applyFill="1" applyBorder="1" applyAlignment="1" applyProtection="1">
      <alignment horizontal="center" vertical="center" wrapText="1"/>
      <protection/>
    </xf>
    <xf numFmtId="0" fontId="48" fillId="42" borderId="101" xfId="0" applyFont="1" applyFill="1" applyBorder="1" applyAlignment="1">
      <alignment/>
    </xf>
    <xf numFmtId="0" fontId="48" fillId="42" borderId="106" xfId="0" applyFont="1" applyFill="1" applyBorder="1" applyAlignment="1">
      <alignment/>
    </xf>
    <xf numFmtId="1" fontId="47" fillId="0" borderId="123" xfId="0" applyNumberFormat="1" applyFont="1" applyFill="1" applyBorder="1" applyAlignment="1" applyProtection="1">
      <alignment horizontal="center"/>
      <protection hidden="1"/>
    </xf>
    <xf numFmtId="1" fontId="47" fillId="0" borderId="103" xfId="0" applyNumberFormat="1" applyFont="1" applyFill="1" applyBorder="1" applyAlignment="1" applyProtection="1">
      <alignment horizontal="center"/>
      <protection hidden="1"/>
    </xf>
    <xf numFmtId="1" fontId="47" fillId="0" borderId="104" xfId="0" applyNumberFormat="1" applyFont="1" applyFill="1" applyBorder="1" applyAlignment="1" applyProtection="1">
      <alignment horizontal="center"/>
      <protection hidden="1"/>
    </xf>
    <xf numFmtId="1" fontId="47" fillId="0" borderId="114" xfId="0" applyNumberFormat="1" applyFont="1" applyFill="1" applyBorder="1" applyAlignment="1" applyProtection="1">
      <alignment horizontal="center"/>
      <protection hidden="1"/>
    </xf>
    <xf numFmtId="1" fontId="47" fillId="0" borderId="109" xfId="0" applyNumberFormat="1" applyFont="1" applyFill="1" applyBorder="1" applyAlignment="1" applyProtection="1">
      <alignment horizontal="center"/>
      <protection hidden="1"/>
    </xf>
    <xf numFmtId="1" fontId="47" fillId="0" borderId="111" xfId="0" applyNumberFormat="1" applyFont="1" applyFill="1" applyBorder="1" applyAlignment="1" applyProtection="1">
      <alignment horizontal="center"/>
      <protection hidden="1"/>
    </xf>
    <xf numFmtId="1" fontId="47" fillId="0" borderId="112" xfId="0" applyNumberFormat="1" applyFont="1" applyFill="1" applyBorder="1" applyAlignment="1" applyProtection="1">
      <alignment horizontal="center"/>
      <protection hidden="1"/>
    </xf>
    <xf numFmtId="1" fontId="47" fillId="0" borderId="107" xfId="0" applyNumberFormat="1" applyFont="1" applyFill="1" applyBorder="1" applyAlignment="1" applyProtection="1">
      <alignment horizontal="center"/>
      <protection hidden="1"/>
    </xf>
    <xf numFmtId="1" fontId="47" fillId="0" borderId="113" xfId="0" applyNumberFormat="1" applyFont="1" applyFill="1" applyBorder="1" applyAlignment="1" applyProtection="1">
      <alignment horizontal="center"/>
      <protection hidden="1"/>
    </xf>
    <xf numFmtId="0" fontId="49" fillId="0" borderId="101" xfId="42" applyNumberFormat="1" applyFont="1" applyFill="1" applyBorder="1" applyAlignment="1" applyProtection="1">
      <alignment horizontal="center" vertical="center"/>
      <protection/>
    </xf>
    <xf numFmtId="0" fontId="49" fillId="0" borderId="106" xfId="42" applyNumberFormat="1" applyFont="1" applyFill="1" applyBorder="1" applyAlignment="1" applyProtection="1">
      <alignment horizontal="center" vertical="center"/>
      <protection/>
    </xf>
    <xf numFmtId="0" fontId="48" fillId="42" borderId="43" xfId="0" applyFont="1" applyFill="1" applyBorder="1" applyAlignment="1" applyProtection="1">
      <alignment vertical="center"/>
      <protection/>
    </xf>
    <xf numFmtId="0" fontId="48" fillId="42" borderId="43" xfId="0" applyFont="1" applyFill="1" applyBorder="1" applyAlignment="1">
      <alignment/>
    </xf>
    <xf numFmtId="0" fontId="48" fillId="42" borderId="0" xfId="0" applyFont="1" applyFill="1" applyBorder="1" applyAlignment="1">
      <alignment/>
    </xf>
    <xf numFmtId="0" fontId="9" fillId="0" borderId="10" xfId="0" applyFont="1" applyBorder="1" applyAlignment="1" applyProtection="1">
      <alignment horizontal="center" vertical="center"/>
      <protection/>
    </xf>
    <xf numFmtId="0" fontId="51" fillId="42" borderId="43" xfId="0" applyFont="1" applyFill="1" applyBorder="1" applyAlignment="1">
      <alignment/>
    </xf>
    <xf numFmtId="0" fontId="51" fillId="42" borderId="44" xfId="0" applyFont="1" applyFill="1" applyBorder="1" applyAlignment="1">
      <alignment/>
    </xf>
    <xf numFmtId="0" fontId="49" fillId="0" borderId="48" xfId="42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48" fillId="42" borderId="48" xfId="42" applyFont="1" applyFill="1" applyBorder="1" applyAlignment="1">
      <alignment horizontal="left" vertical="center"/>
    </xf>
    <xf numFmtId="0" fontId="48" fillId="42" borderId="49" xfId="42" applyFont="1" applyFill="1" applyBorder="1" applyAlignment="1">
      <alignment horizontal="left" vertical="center"/>
    </xf>
    <xf numFmtId="0" fontId="48" fillId="42" borderId="96" xfId="42" applyFont="1" applyFill="1" applyBorder="1" applyAlignment="1">
      <alignment horizontal="left" vertical="center"/>
    </xf>
    <xf numFmtId="0" fontId="46" fillId="12" borderId="101" xfId="0" applyFont="1" applyFill="1" applyBorder="1" applyAlignment="1" applyProtection="1">
      <alignment horizontal="center" vertical="center" wrapText="1"/>
      <protection/>
    </xf>
    <xf numFmtId="0" fontId="46" fillId="12" borderId="106" xfId="0" applyFont="1" applyFill="1" applyBorder="1" applyAlignment="1" applyProtection="1">
      <alignment horizontal="center" vertical="center" wrapText="1"/>
      <protection/>
    </xf>
    <xf numFmtId="0" fontId="46" fillId="12" borderId="46" xfId="0" applyFont="1" applyFill="1" applyBorder="1" applyAlignment="1" applyProtection="1">
      <alignment horizontal="center" vertical="center" wrapText="1"/>
      <protection/>
    </xf>
    <xf numFmtId="0" fontId="46" fillId="12" borderId="61" xfId="0" applyFont="1" applyFill="1" applyBorder="1" applyAlignment="1" applyProtection="1">
      <alignment horizontal="center" vertical="center"/>
      <protection/>
    </xf>
    <xf numFmtId="0" fontId="48" fillId="42" borderId="105" xfId="0" applyFont="1" applyFill="1" applyBorder="1" applyAlignment="1">
      <alignment/>
    </xf>
    <xf numFmtId="0" fontId="50" fillId="11" borderId="50" xfId="0" applyFont="1" applyFill="1" applyBorder="1" applyAlignment="1" applyProtection="1">
      <alignment horizontal="left" vertical="center"/>
      <protection/>
    </xf>
    <xf numFmtId="0" fontId="50" fillId="11" borderId="101" xfId="0" applyFont="1" applyFill="1" applyBorder="1" applyAlignment="1" applyProtection="1">
      <alignment horizontal="left" vertical="center"/>
      <protection/>
    </xf>
    <xf numFmtId="0" fontId="50" fillId="11" borderId="106" xfId="0" applyFont="1" applyFill="1" applyBorder="1" applyAlignment="1" applyProtection="1">
      <alignment horizontal="left" vertical="center"/>
      <protection/>
    </xf>
    <xf numFmtId="1" fontId="47" fillId="0" borderId="68" xfId="0" applyNumberFormat="1" applyFont="1" applyFill="1" applyBorder="1" applyAlignment="1" applyProtection="1">
      <alignment horizontal="center"/>
      <protection hidden="1"/>
    </xf>
    <xf numFmtId="1" fontId="47" fillId="0" borderId="93" xfId="0" applyNumberFormat="1" applyFont="1" applyFill="1" applyBorder="1" applyAlignment="1" applyProtection="1">
      <alignment horizontal="center"/>
      <protection hidden="1"/>
    </xf>
    <xf numFmtId="1" fontId="47" fillId="0" borderId="102" xfId="0" applyNumberFormat="1" applyFont="1" applyFill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9" fillId="0" borderId="56" xfId="42" applyNumberFormat="1" applyFont="1" applyFill="1" applyBorder="1" applyAlignment="1" applyProtection="1">
      <alignment horizontal="center" vertical="center"/>
      <protection/>
    </xf>
    <xf numFmtId="0" fontId="49" fillId="0" borderId="50" xfId="42" applyNumberFormat="1" applyFont="1" applyFill="1" applyBorder="1" applyAlignment="1" applyProtection="1">
      <alignment horizontal="center" vertical="center"/>
      <protection/>
    </xf>
    <xf numFmtId="0" fontId="92" fillId="0" borderId="0" xfId="0" applyFont="1" applyAlignment="1">
      <alignment horizontal="center" vertical="center" wrapText="1"/>
    </xf>
    <xf numFmtId="0" fontId="92" fillId="0" borderId="0" xfId="0" applyFont="1" applyAlignment="1">
      <alignment horizontal="left" vertical="center" wrapText="1"/>
    </xf>
    <xf numFmtId="0" fontId="48" fillId="41" borderId="50" xfId="42" applyFont="1" applyFill="1" applyBorder="1" applyAlignment="1" applyProtection="1">
      <alignment horizontal="left" vertical="center"/>
      <protection/>
    </xf>
    <xf numFmtId="0" fontId="48" fillId="41" borderId="49" xfId="42" applyFont="1" applyFill="1" applyBorder="1" applyAlignment="1" applyProtection="1">
      <alignment horizontal="left" vertical="center"/>
      <protection/>
    </xf>
    <xf numFmtId="0" fontId="48" fillId="41" borderId="101" xfId="42" applyFont="1" applyFill="1" applyBorder="1" applyAlignment="1" applyProtection="1">
      <alignment horizontal="left" vertical="center"/>
      <protection/>
    </xf>
    <xf numFmtId="0" fontId="48" fillId="41" borderId="106" xfId="42" applyFont="1" applyFill="1" applyBorder="1" applyAlignment="1" applyProtection="1">
      <alignment horizontal="left" vertical="center"/>
      <protection/>
    </xf>
    <xf numFmtId="0" fontId="46" fillId="12" borderId="47" xfId="0" applyFont="1" applyFill="1" applyBorder="1" applyAlignment="1" applyProtection="1">
      <alignment horizontal="center" vertical="center" wrapText="1"/>
      <protection/>
    </xf>
    <xf numFmtId="0" fontId="0" fillId="0" borderId="108" xfId="0" applyBorder="1" applyAlignment="1">
      <alignment horizontal="center"/>
    </xf>
    <xf numFmtId="0" fontId="0" fillId="0" borderId="119" xfId="0" applyBorder="1" applyAlignment="1">
      <alignment horizontal="center"/>
    </xf>
    <xf numFmtId="0" fontId="0" fillId="0" borderId="124" xfId="0" applyBorder="1" applyAlignment="1">
      <alignment horizontal="center"/>
    </xf>
    <xf numFmtId="0" fontId="0" fillId="0" borderId="125" xfId="0" applyBorder="1" applyAlignment="1">
      <alignment horizontal="center"/>
    </xf>
    <xf numFmtId="0" fontId="0" fillId="0" borderId="110" xfId="0" applyBorder="1" applyAlignment="1">
      <alignment horizontal="center"/>
    </xf>
    <xf numFmtId="0" fontId="0" fillId="0" borderId="126" xfId="0" applyBorder="1" applyAlignment="1">
      <alignment horizontal="center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33" borderId="10" xfId="0" applyFont="1" applyFill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90" xfId="0" applyFont="1" applyBorder="1" applyAlignment="1" applyProtection="1">
      <alignment horizontal="center" vertical="center"/>
      <protection hidden="1"/>
    </xf>
    <xf numFmtId="0" fontId="7" fillId="37" borderId="27" xfId="0" applyFont="1" applyFill="1" applyBorder="1" applyAlignment="1" applyProtection="1">
      <alignment horizontal="center" vertical="center"/>
      <protection hidden="1"/>
    </xf>
    <xf numFmtId="0" fontId="7" fillId="37" borderId="90" xfId="0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10" fillId="0" borderId="27" xfId="0" applyFont="1" applyFill="1" applyBorder="1" applyAlignment="1" applyProtection="1">
      <alignment horizontal="center" vertical="center" wrapText="1"/>
      <protection hidden="1"/>
    </xf>
    <xf numFmtId="0" fontId="10" fillId="0" borderId="28" xfId="0" applyFont="1" applyFill="1" applyBorder="1" applyAlignment="1" applyProtection="1">
      <alignment horizontal="center" vertical="center" wrapText="1"/>
      <protection hidden="1"/>
    </xf>
    <xf numFmtId="0" fontId="10" fillId="0" borderId="90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7" fillId="36" borderId="10" xfId="0" applyFont="1" applyFill="1" applyBorder="1" applyAlignment="1" applyProtection="1">
      <alignment horizontal="center" vertical="center"/>
      <protection hidden="1"/>
    </xf>
    <xf numFmtId="0" fontId="10" fillId="0" borderId="10" xfId="0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Fill="1" applyBorder="1" applyAlignment="1" applyProtection="1">
      <alignment horizontal="left" vertical="center"/>
      <protection hidden="1"/>
    </xf>
    <xf numFmtId="0" fontId="0" fillId="0" borderId="10" xfId="0" applyBorder="1" applyAlignment="1">
      <alignment horizontal="center"/>
    </xf>
    <xf numFmtId="0" fontId="10" fillId="0" borderId="27" xfId="0" applyFont="1" applyFill="1" applyBorder="1" applyAlignment="1" applyProtection="1">
      <alignment horizontal="left" vertical="center" wrapText="1"/>
      <protection hidden="1"/>
    </xf>
    <xf numFmtId="0" fontId="10" fillId="0" borderId="28" xfId="0" applyFont="1" applyFill="1" applyBorder="1" applyAlignment="1" applyProtection="1">
      <alignment horizontal="left" vertical="center" wrapText="1"/>
      <protection hidden="1"/>
    </xf>
    <xf numFmtId="0" fontId="10" fillId="0" borderId="90" xfId="0" applyFont="1" applyFill="1" applyBorder="1" applyAlignment="1" applyProtection="1">
      <alignment horizontal="left" vertical="center" wrapText="1"/>
      <protection hidden="1"/>
    </xf>
    <xf numFmtId="0" fontId="13" fillId="0" borderId="108" xfId="0" applyFont="1" applyFill="1" applyBorder="1" applyAlignment="1" applyProtection="1">
      <alignment horizontal="center" vertical="center" wrapText="1"/>
      <protection hidden="1"/>
    </xf>
    <xf numFmtId="0" fontId="13" fillId="0" borderId="94" xfId="0" applyFont="1" applyFill="1" applyBorder="1" applyAlignment="1" applyProtection="1">
      <alignment horizontal="center" vertical="center" wrapText="1"/>
      <protection hidden="1"/>
    </xf>
    <xf numFmtId="0" fontId="13" fillId="0" borderId="119" xfId="0" applyFont="1" applyFill="1" applyBorder="1" applyAlignment="1" applyProtection="1">
      <alignment horizontal="center" vertical="center" wrapText="1"/>
      <protection hidden="1"/>
    </xf>
    <xf numFmtId="0" fontId="10" fillId="0" borderId="103" xfId="0" applyFont="1" applyFill="1" applyBorder="1" applyAlignment="1" applyProtection="1">
      <alignment horizontal="left" vertical="center" wrapText="1"/>
      <protection hidden="1"/>
    </xf>
    <xf numFmtId="0" fontId="10" fillId="0" borderId="103" xfId="0" applyFont="1" applyFill="1" applyBorder="1" applyAlignment="1" applyProtection="1">
      <alignment horizontal="left" vertical="center"/>
      <protection hidden="1"/>
    </xf>
    <xf numFmtId="0" fontId="10" fillId="0" borderId="126" xfId="0" applyFont="1" applyFill="1" applyBorder="1" applyAlignment="1" applyProtection="1">
      <alignment horizontal="left" vertical="center"/>
      <protection hidden="1"/>
    </xf>
    <xf numFmtId="0" fontId="10" fillId="0" borderId="110" xfId="0" applyFont="1" applyFill="1" applyBorder="1" applyAlignment="1" applyProtection="1">
      <alignment horizontal="left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90" xfId="0" applyFont="1" applyFill="1" applyBorder="1" applyAlignment="1" applyProtection="1">
      <alignment horizontal="center" vertical="center"/>
      <protection hidden="1"/>
    </xf>
    <xf numFmtId="0" fontId="47" fillId="0" borderId="37" xfId="0" applyFont="1" applyFill="1" applyBorder="1" applyAlignment="1" applyProtection="1">
      <alignment horizontal="left" vertical="center"/>
      <protection/>
    </xf>
    <xf numFmtId="0" fontId="47" fillId="0" borderId="28" xfId="0" applyFont="1" applyFill="1" applyBorder="1" applyAlignment="1" applyProtection="1">
      <alignment horizontal="left" vertical="center"/>
      <protection/>
    </xf>
    <xf numFmtId="0" fontId="47" fillId="0" borderId="90" xfId="0" applyFont="1" applyFill="1" applyBorder="1" applyAlignment="1" applyProtection="1">
      <alignment horizontal="left" vertical="center"/>
      <protection/>
    </xf>
    <xf numFmtId="0" fontId="47" fillId="0" borderId="123" xfId="0" applyFont="1" applyFill="1" applyBorder="1" applyAlignment="1" applyProtection="1">
      <alignment horizontal="left" vertical="center"/>
      <protection/>
    </xf>
    <xf numFmtId="0" fontId="47" fillId="0" borderId="103" xfId="0" applyFont="1" applyFill="1" applyBorder="1" applyAlignment="1" applyProtection="1">
      <alignment horizontal="left" vertical="center"/>
      <protection/>
    </xf>
    <xf numFmtId="0" fontId="47" fillId="0" borderId="126" xfId="0" applyFont="1" applyFill="1" applyBorder="1" applyAlignment="1" applyProtection="1">
      <alignment horizontal="left" vertical="center"/>
      <protection/>
    </xf>
    <xf numFmtId="0" fontId="47" fillId="0" borderId="121" xfId="0" applyFont="1" applyFill="1" applyBorder="1" applyAlignment="1" applyProtection="1">
      <alignment horizontal="left" vertical="center"/>
      <protection/>
    </xf>
    <xf numFmtId="0" fontId="47" fillId="0" borderId="94" xfId="0" applyFont="1" applyFill="1" applyBorder="1" applyAlignment="1" applyProtection="1">
      <alignment horizontal="left" vertical="center"/>
      <protection/>
    </xf>
    <xf numFmtId="0" fontId="47" fillId="0" borderId="119" xfId="0" applyFont="1" applyFill="1" applyBorder="1" applyAlignment="1" applyProtection="1">
      <alignment horizontal="left" vertical="center"/>
      <protection/>
    </xf>
    <xf numFmtId="0" fontId="47" fillId="0" borderId="98" xfId="0" applyFont="1" applyFill="1" applyBorder="1" applyAlignment="1" applyProtection="1">
      <alignment horizontal="left" vertical="center"/>
      <protection/>
    </xf>
    <xf numFmtId="0" fontId="47" fillId="0" borderId="68" xfId="0" applyFont="1" applyFill="1" applyBorder="1" applyAlignment="1" applyProtection="1">
      <alignment horizontal="left" vertical="center"/>
      <protection/>
    </xf>
    <xf numFmtId="0" fontId="47" fillId="0" borderId="93" xfId="0" applyFont="1" applyFill="1" applyBorder="1" applyAlignment="1" applyProtection="1">
      <alignment horizontal="left" vertical="center"/>
      <protection/>
    </xf>
    <xf numFmtId="0" fontId="47" fillId="0" borderId="102" xfId="0" applyFont="1" applyFill="1" applyBorder="1" applyAlignment="1" applyProtection="1">
      <alignment horizontal="left" vertical="center"/>
      <protection/>
    </xf>
    <xf numFmtId="0" fontId="94" fillId="42" borderId="48" xfId="0" applyFont="1" applyFill="1" applyBorder="1" applyAlignment="1">
      <alignment horizontal="center" vertical="center"/>
    </xf>
    <xf numFmtId="0" fontId="94" fillId="42" borderId="49" xfId="0" applyFont="1" applyFill="1" applyBorder="1" applyAlignment="1">
      <alignment horizontal="center" vertical="center"/>
    </xf>
    <xf numFmtId="0" fontId="94" fillId="42" borderId="96" xfId="0" applyFont="1" applyFill="1" applyBorder="1" applyAlignment="1">
      <alignment horizontal="center" vertical="center"/>
    </xf>
    <xf numFmtId="0" fontId="55" fillId="42" borderId="48" xfId="0" applyFont="1" applyFill="1" applyBorder="1" applyAlignment="1">
      <alignment horizontal="center" vertical="center"/>
    </xf>
    <xf numFmtId="0" fontId="55" fillId="42" borderId="49" xfId="0" applyFont="1" applyFill="1" applyBorder="1" applyAlignment="1">
      <alignment horizontal="center" vertical="center"/>
    </xf>
    <xf numFmtId="0" fontId="55" fillId="42" borderId="96" xfId="0" applyFont="1" applyFill="1" applyBorder="1" applyAlignment="1">
      <alignment horizontal="center" vertical="center"/>
    </xf>
    <xf numFmtId="0" fontId="46" fillId="12" borderId="48" xfId="42" applyNumberFormat="1" applyFont="1" applyFill="1" applyBorder="1" applyAlignment="1" applyProtection="1">
      <alignment horizontal="center" vertical="center"/>
      <protection/>
    </xf>
    <xf numFmtId="0" fontId="46" fillId="12" borderId="49" xfId="42" applyNumberFormat="1" applyFont="1" applyFill="1" applyBorder="1" applyAlignment="1" applyProtection="1">
      <alignment horizontal="center" vertical="center"/>
      <protection/>
    </xf>
    <xf numFmtId="0" fontId="46" fillId="12" borderId="96" xfId="42" applyNumberFormat="1" applyFont="1" applyFill="1" applyBorder="1" applyAlignment="1" applyProtection="1">
      <alignment horizontal="center" vertical="center"/>
      <protection/>
    </xf>
    <xf numFmtId="0" fontId="47" fillId="0" borderId="67" xfId="0" applyFont="1" applyFill="1" applyBorder="1" applyAlignment="1" applyProtection="1">
      <alignment horizontal="left" vertical="center"/>
      <protection/>
    </xf>
    <xf numFmtId="0" fontId="47" fillId="0" borderId="91" xfId="0" applyFont="1" applyFill="1" applyBorder="1" applyAlignment="1" applyProtection="1">
      <alignment horizontal="left" vertical="center"/>
      <protection/>
    </xf>
    <xf numFmtId="0" fontId="47" fillId="0" borderId="97" xfId="0" applyFont="1" applyFill="1" applyBorder="1" applyAlignment="1" applyProtection="1">
      <alignment horizontal="left" vertical="center"/>
      <protection/>
    </xf>
    <xf numFmtId="0" fontId="54" fillId="0" borderId="43" xfId="0" applyFont="1" applyBorder="1" applyAlignment="1" applyProtection="1">
      <alignment horizontal="center" vertical="center"/>
      <protection/>
    </xf>
    <xf numFmtId="0" fontId="55" fillId="42" borderId="48" xfId="42" applyNumberFormat="1" applyFont="1" applyFill="1" applyBorder="1" applyAlignment="1" applyProtection="1">
      <alignment horizontal="center" vertical="center"/>
      <protection/>
    </xf>
    <xf numFmtId="0" fontId="55" fillId="42" borderId="49" xfId="42" applyNumberFormat="1" applyFont="1" applyFill="1" applyBorder="1" applyAlignment="1" applyProtection="1">
      <alignment horizontal="center" vertical="center"/>
      <protection/>
    </xf>
    <xf numFmtId="0" fontId="55" fillId="42" borderId="96" xfId="42" applyNumberFormat="1" applyFont="1" applyFill="1" applyBorder="1" applyAlignment="1" applyProtection="1">
      <alignment horizontal="center" vertical="center"/>
      <protection/>
    </xf>
    <xf numFmtId="0" fontId="47" fillId="0" borderId="118" xfId="0" applyFont="1" applyFill="1" applyBorder="1" applyAlignment="1" applyProtection="1">
      <alignment horizontal="left" vertical="center"/>
      <protection/>
    </xf>
    <xf numFmtId="0" fontId="47" fillId="0" borderId="120" xfId="0" applyFont="1" applyFill="1" applyBorder="1" applyAlignment="1" applyProtection="1">
      <alignment horizontal="left" vertical="center"/>
      <protection/>
    </xf>
    <xf numFmtId="0" fontId="14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14" fillId="0" borderId="10" xfId="54" applyFont="1" applyFill="1" applyBorder="1" applyAlignment="1">
      <alignment horizontal="right"/>
      <protection/>
    </xf>
    <xf numFmtId="0" fontId="58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58" fillId="0" borderId="45" xfId="0" applyFont="1" applyBorder="1" applyAlignment="1">
      <alignment/>
    </xf>
    <xf numFmtId="0" fontId="58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2" fontId="57" fillId="0" borderId="10" xfId="0" applyNumberFormat="1" applyFont="1" applyBorder="1" applyAlignment="1">
      <alignment horizontal="left" vertical="center"/>
    </xf>
    <xf numFmtId="2" fontId="57" fillId="0" borderId="10" xfId="0" applyNumberFormat="1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64" fillId="43" borderId="127" xfId="0" applyFont="1" applyFill="1" applyBorder="1" applyAlignment="1">
      <alignment horizontal="center" vertical="center"/>
    </xf>
    <xf numFmtId="0" fontId="65" fillId="39" borderId="0" xfId="0" applyFont="1" applyFill="1" applyBorder="1" applyAlignment="1">
      <alignment horizontal="center" vertical="top" wrapText="1" shrinkToFit="1"/>
    </xf>
    <xf numFmtId="0" fontId="14" fillId="0" borderId="74" xfId="0" applyFont="1" applyBorder="1" applyAlignment="1">
      <alignment horizontal="right" vertical="center"/>
    </xf>
    <xf numFmtId="0" fontId="14" fillId="0" borderId="75" xfId="0" applyFont="1" applyBorder="1" applyAlignment="1">
      <alignment horizontal="right" vertical="center"/>
    </xf>
    <xf numFmtId="0" fontId="14" fillId="0" borderId="75" xfId="0" applyFont="1" applyBorder="1" applyAlignment="1">
      <alignment horizontal="left" vertical="center"/>
    </xf>
    <xf numFmtId="0" fontId="14" fillId="0" borderId="77" xfId="0" applyFont="1" applyBorder="1" applyAlignment="1">
      <alignment horizontal="left" vertical="center"/>
    </xf>
    <xf numFmtId="0" fontId="14" fillId="0" borderId="78" xfId="54" applyFont="1" applyFill="1" applyBorder="1" applyAlignment="1">
      <alignment horizontal="right"/>
      <protection/>
    </xf>
    <xf numFmtId="0" fontId="14" fillId="0" borderId="79" xfId="0" applyFont="1" applyBorder="1" applyAlignment="1">
      <alignment horizontal="left" vertical="center"/>
    </xf>
    <xf numFmtId="0" fontId="59" fillId="0" borderId="79" xfId="0" applyFont="1" applyBorder="1" applyAlignment="1">
      <alignment horizontal="left" vertical="center"/>
    </xf>
    <xf numFmtId="0" fontId="14" fillId="0" borderId="80" xfId="54" applyFont="1" applyFill="1" applyBorder="1" applyAlignment="1">
      <alignment horizontal="right"/>
      <protection/>
    </xf>
    <xf numFmtId="0" fontId="14" fillId="0" borderId="81" xfId="54" applyFont="1" applyFill="1" applyBorder="1" applyAlignment="1">
      <alignment horizontal="right"/>
      <protection/>
    </xf>
    <xf numFmtId="0" fontId="14" fillId="0" borderId="81" xfId="0" applyFont="1" applyBorder="1" applyAlignment="1">
      <alignment horizontal="left" vertical="center"/>
    </xf>
    <xf numFmtId="0" fontId="14" fillId="0" borderId="83" xfId="0" applyFont="1" applyBorder="1" applyAlignment="1">
      <alignment horizontal="left" vertical="center"/>
    </xf>
    <xf numFmtId="0" fontId="64" fillId="43" borderId="128" xfId="0" applyFont="1" applyFill="1" applyBorder="1" applyAlignment="1">
      <alignment vertical="center"/>
    </xf>
    <xf numFmtId="0" fontId="64" fillId="43" borderId="127" xfId="0" applyFont="1" applyFill="1" applyBorder="1" applyAlignment="1">
      <alignment vertical="center"/>
    </xf>
    <xf numFmtId="0" fontId="66" fillId="43" borderId="129" xfId="0" applyFont="1" applyFill="1" applyBorder="1" applyAlignment="1">
      <alignment vertical="center"/>
    </xf>
    <xf numFmtId="0" fontId="58" fillId="0" borderId="0" xfId="0" applyFont="1" applyAlignment="1">
      <alignment horizontal="center" vertical="top" wrapText="1"/>
    </xf>
    <xf numFmtId="0" fontId="57" fillId="43" borderId="78" xfId="0" applyFont="1" applyFill="1" applyBorder="1" applyAlignment="1">
      <alignment vertical="center"/>
    </xf>
    <xf numFmtId="222" fontId="63" fillId="0" borderId="79" xfId="0" applyNumberFormat="1" applyFont="1" applyBorder="1" applyAlignment="1">
      <alignment vertical="center"/>
    </xf>
    <xf numFmtId="1" fontId="61" fillId="0" borderId="79" xfId="0" applyNumberFormat="1" applyFont="1" applyFill="1" applyBorder="1" applyAlignment="1">
      <alignment vertical="center"/>
    </xf>
    <xf numFmtId="0" fontId="61" fillId="0" borderId="79" xfId="0" applyFont="1" applyBorder="1" applyAlignment="1">
      <alignment vertical="center"/>
    </xf>
    <xf numFmtId="0" fontId="57" fillId="0" borderId="10" xfId="0" applyFont="1" applyFill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62" fillId="0" borderId="79" xfId="0" applyFont="1" applyBorder="1" applyAlignment="1">
      <alignment vertical="center"/>
    </xf>
    <xf numFmtId="0" fontId="57" fillId="43" borderId="80" xfId="0" applyFont="1" applyFill="1" applyBorder="1" applyAlignment="1">
      <alignment vertical="center"/>
    </xf>
    <xf numFmtId="0" fontId="57" fillId="0" borderId="81" xfId="0" applyFont="1" applyBorder="1" applyAlignment="1">
      <alignment vertical="center" wrapText="1"/>
    </xf>
    <xf numFmtId="0" fontId="57" fillId="0" borderId="81" xfId="0" applyFont="1" applyBorder="1" applyAlignment="1">
      <alignment vertical="center"/>
    </xf>
    <xf numFmtId="0" fontId="61" fillId="0" borderId="81" xfId="0" applyFont="1" applyBorder="1" applyAlignment="1">
      <alignment vertical="center"/>
    </xf>
    <xf numFmtId="0" fontId="62" fillId="0" borderId="83" xfId="0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Фаса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152400</xdr:rowOff>
    </xdr:from>
    <xdr:to>
      <xdr:col>5</xdr:col>
      <xdr:colOff>342900</xdr:colOff>
      <xdr:row>6</xdr:row>
      <xdr:rowOff>180975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14325"/>
          <a:ext cx="4772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381000</xdr:colOff>
      <xdr:row>6</xdr:row>
      <xdr:rowOff>352425</xdr:rowOff>
    </xdr:from>
    <xdr:to>
      <xdr:col>9</xdr:col>
      <xdr:colOff>390525</xdr:colOff>
      <xdr:row>6</xdr:row>
      <xdr:rowOff>352425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390650"/>
          <a:ext cx="1571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6</xdr:row>
      <xdr:rowOff>352425</xdr:rowOff>
    </xdr:from>
    <xdr:to>
      <xdr:col>9</xdr:col>
      <xdr:colOff>314325</xdr:colOff>
      <xdr:row>6</xdr:row>
      <xdr:rowOff>352425</xdr:rowOff>
    </xdr:to>
    <xdr:pic>
      <xdr:nvPicPr>
        <xdr:cNvPr id="2" name="Рисунок 2" descr="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1390650"/>
          <a:ext cx="1419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2638425</xdr:colOff>
      <xdr:row>0</xdr:row>
      <xdr:rowOff>161925</xdr:rowOff>
    </xdr:from>
    <xdr:to>
      <xdr:col>7</xdr:col>
      <xdr:colOff>47625</xdr:colOff>
      <xdr:row>5</xdr:row>
      <xdr:rowOff>123825</xdr:rowOff>
    </xdr:to>
    <xdr:pic>
      <xdr:nvPicPr>
        <xdr:cNvPr id="3" name="Рисунок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38425" y="161925"/>
          <a:ext cx="4772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28575</xdr:rowOff>
    </xdr:from>
    <xdr:to>
      <xdr:col>3</xdr:col>
      <xdr:colOff>1047750</xdr:colOff>
      <xdr:row>4</xdr:row>
      <xdr:rowOff>28575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8575"/>
          <a:ext cx="1752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3</xdr:col>
      <xdr:colOff>123825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9145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1</xdr:row>
      <xdr:rowOff>352425</xdr:rowOff>
    </xdr:from>
    <xdr:to>
      <xdr:col>9</xdr:col>
      <xdr:colOff>619125</xdr:colOff>
      <xdr:row>1</xdr:row>
      <xdr:rowOff>352425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127635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1</xdr:row>
      <xdr:rowOff>352425</xdr:rowOff>
    </xdr:from>
    <xdr:to>
      <xdr:col>9</xdr:col>
      <xdr:colOff>466725</xdr:colOff>
      <xdr:row>1</xdr:row>
      <xdr:rowOff>352425</xdr:rowOff>
    </xdr:to>
    <xdr:pic>
      <xdr:nvPicPr>
        <xdr:cNvPr id="2" name="Рисунок 2" descr="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1276350"/>
          <a:ext cx="1076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0</xdr:row>
      <xdr:rowOff>47625</xdr:rowOff>
    </xdr:from>
    <xdr:to>
      <xdr:col>9</xdr:col>
      <xdr:colOff>1476375</xdr:colOff>
      <xdr:row>0</xdr:row>
      <xdr:rowOff>885825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47625"/>
          <a:ext cx="4772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oramebel.ru/contacts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89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3.8515625" style="0" customWidth="1"/>
    <col min="2" max="2" width="32.28125" style="0" customWidth="1"/>
    <col min="3" max="3" width="12.57421875" style="0" customWidth="1"/>
    <col min="4" max="5" width="11.00390625" style="0" customWidth="1"/>
  </cols>
  <sheetData>
    <row r="7" ht="19.5" customHeight="1"/>
    <row r="8" spans="1:7" ht="97.5" customHeight="1">
      <c r="A8" s="480" t="s">
        <v>2235</v>
      </c>
      <c r="B8" s="480"/>
      <c r="C8" s="480"/>
      <c r="D8" s="480"/>
      <c r="E8" s="480"/>
      <c r="F8" s="480"/>
      <c r="G8" s="480"/>
    </row>
    <row r="9" ht="13.5" thickBot="1"/>
    <row r="10" spans="1:7" ht="19.5" customHeight="1" thickBot="1">
      <c r="A10" s="452"/>
      <c r="B10" s="452"/>
      <c r="C10" s="453" t="s">
        <v>2237</v>
      </c>
      <c r="D10" s="454"/>
      <c r="E10" s="452"/>
      <c r="F10" s="452"/>
      <c r="G10" s="452"/>
    </row>
    <row r="11" spans="1:7" ht="11.25" customHeight="1" thickBot="1">
      <c r="A11" s="455"/>
      <c r="B11" s="456"/>
      <c r="C11" s="457"/>
      <c r="D11" s="457"/>
      <c r="E11" s="458"/>
      <c r="F11" s="452"/>
      <c r="G11" s="452"/>
    </row>
    <row r="12" spans="1:7" ht="15" customHeight="1">
      <c r="A12" s="466" t="s">
        <v>2238</v>
      </c>
      <c r="B12" s="467"/>
      <c r="C12" s="468"/>
      <c r="D12" s="468"/>
      <c r="E12" s="468"/>
      <c r="F12" s="468"/>
      <c r="G12" s="469"/>
    </row>
    <row r="13" spans="1:7" ht="15" customHeight="1">
      <c r="A13" s="470" t="s">
        <v>2239</v>
      </c>
      <c r="B13" s="451"/>
      <c r="C13" s="449"/>
      <c r="D13" s="449"/>
      <c r="E13" s="449"/>
      <c r="F13" s="449"/>
      <c r="G13" s="471"/>
    </row>
    <row r="14" spans="1:7" ht="15" customHeight="1">
      <c r="A14" s="470" t="s">
        <v>2240</v>
      </c>
      <c r="B14" s="451"/>
      <c r="C14" s="449"/>
      <c r="D14" s="449"/>
      <c r="E14" s="449"/>
      <c r="F14" s="449"/>
      <c r="G14" s="471"/>
    </row>
    <row r="15" spans="1:7" ht="15" customHeight="1">
      <c r="A15" s="470" t="s">
        <v>2241</v>
      </c>
      <c r="B15" s="451"/>
      <c r="C15" s="449"/>
      <c r="D15" s="449"/>
      <c r="E15" s="449"/>
      <c r="F15" s="449"/>
      <c r="G15" s="471"/>
    </row>
    <row r="16" spans="1:7" ht="15" customHeight="1">
      <c r="A16" s="470" t="s">
        <v>2242</v>
      </c>
      <c r="B16" s="451"/>
      <c r="C16" s="449"/>
      <c r="D16" s="449"/>
      <c r="E16" s="449"/>
      <c r="F16" s="449"/>
      <c r="G16" s="471"/>
    </row>
    <row r="17" spans="1:7" ht="15" customHeight="1">
      <c r="A17" s="470" t="s">
        <v>2243</v>
      </c>
      <c r="B17" s="451"/>
      <c r="C17" s="450"/>
      <c r="D17" s="450"/>
      <c r="E17" s="450"/>
      <c r="F17" s="450"/>
      <c r="G17" s="472"/>
    </row>
    <row r="18" spans="1:7" ht="15" customHeight="1" thickBot="1">
      <c r="A18" s="473" t="s">
        <v>2244</v>
      </c>
      <c r="B18" s="474"/>
      <c r="C18" s="475"/>
      <c r="D18" s="475"/>
      <c r="E18" s="475"/>
      <c r="F18" s="475"/>
      <c r="G18" s="476"/>
    </row>
    <row r="19" spans="1:7" ht="15.75" thickBot="1">
      <c r="A19" s="477" t="s">
        <v>2245</v>
      </c>
      <c r="B19" s="464" t="s">
        <v>97</v>
      </c>
      <c r="C19" s="478" t="s">
        <v>2246</v>
      </c>
      <c r="D19" s="478" t="s">
        <v>2247</v>
      </c>
      <c r="E19" s="478" t="s">
        <v>2248</v>
      </c>
      <c r="F19" s="478" t="s">
        <v>2249</v>
      </c>
      <c r="G19" s="479" t="s">
        <v>2250</v>
      </c>
    </row>
    <row r="20" spans="1:7" ht="13.5">
      <c r="A20" s="481">
        <v>1</v>
      </c>
      <c r="B20" s="459" t="s">
        <v>2251</v>
      </c>
      <c r="C20" s="460"/>
      <c r="D20" s="461"/>
      <c r="E20" s="461"/>
      <c r="F20" s="461"/>
      <c r="G20" s="482">
        <f>ROUND((D20*E20/1000000)*F20,4)</f>
        <v>0</v>
      </c>
    </row>
    <row r="21" spans="1:7" ht="13.5">
      <c r="A21" s="481">
        <f>A20+1</f>
        <v>2</v>
      </c>
      <c r="B21" s="459" t="s">
        <v>2251</v>
      </c>
      <c r="C21" s="460"/>
      <c r="D21" s="461"/>
      <c r="E21" s="461"/>
      <c r="F21" s="461"/>
      <c r="G21" s="482">
        <f>ROUND((D21*E21/1000000)*F21,4)</f>
        <v>0</v>
      </c>
    </row>
    <row r="22" spans="1:7" ht="13.5">
      <c r="A22" s="481">
        <f aca="true" t="shared" si="0" ref="A22:A85">A21+1</f>
        <v>3</v>
      </c>
      <c r="B22" s="459" t="s">
        <v>2251</v>
      </c>
      <c r="C22" s="460"/>
      <c r="D22" s="461"/>
      <c r="E22" s="461"/>
      <c r="F22" s="461"/>
      <c r="G22" s="482">
        <f>ROUND((D22*E22/1000000)*F22,4)</f>
        <v>0</v>
      </c>
    </row>
    <row r="23" spans="1:7" ht="13.5">
      <c r="A23" s="481">
        <f t="shared" si="0"/>
        <v>4</v>
      </c>
      <c r="B23" s="459" t="s">
        <v>2251</v>
      </c>
      <c r="C23" s="460"/>
      <c r="D23" s="461"/>
      <c r="E23" s="461"/>
      <c r="F23" s="461"/>
      <c r="G23" s="482">
        <f>ROUND((D23*E23/1000000)*F23,4)</f>
        <v>0</v>
      </c>
    </row>
    <row r="24" spans="1:7" ht="13.5">
      <c r="A24" s="481">
        <f t="shared" si="0"/>
        <v>5</v>
      </c>
      <c r="B24" s="459" t="s">
        <v>2251</v>
      </c>
      <c r="C24" s="460"/>
      <c r="D24" s="461"/>
      <c r="E24" s="461"/>
      <c r="F24" s="461"/>
      <c r="G24" s="482">
        <f>ROUND((D24*E24/1000000)*F24,4)</f>
        <v>0</v>
      </c>
    </row>
    <row r="25" spans="1:7" ht="13.5">
      <c r="A25" s="481">
        <f t="shared" si="0"/>
        <v>6</v>
      </c>
      <c r="B25" s="459" t="s">
        <v>2251</v>
      </c>
      <c r="C25" s="460"/>
      <c r="D25" s="461"/>
      <c r="E25" s="461"/>
      <c r="F25" s="461"/>
      <c r="G25" s="482">
        <f>ROUND((D25*E25/1000000)*F25,4)</f>
        <v>0</v>
      </c>
    </row>
    <row r="26" spans="1:7" ht="13.5">
      <c r="A26" s="481">
        <f t="shared" si="0"/>
        <v>7</v>
      </c>
      <c r="B26" s="459" t="s">
        <v>2251</v>
      </c>
      <c r="C26" s="460"/>
      <c r="D26" s="461"/>
      <c r="E26" s="461"/>
      <c r="F26" s="461"/>
      <c r="G26" s="482">
        <f>ROUND((D26*E26/1000000)*F26,4)</f>
        <v>0</v>
      </c>
    </row>
    <row r="27" spans="1:7" ht="13.5">
      <c r="A27" s="481">
        <f t="shared" si="0"/>
        <v>8</v>
      </c>
      <c r="B27" s="459" t="s">
        <v>2251</v>
      </c>
      <c r="C27" s="460"/>
      <c r="D27" s="461"/>
      <c r="E27" s="461"/>
      <c r="F27" s="461"/>
      <c r="G27" s="482">
        <f>ROUND((D27*E27/1000000)*F27,4)</f>
        <v>0</v>
      </c>
    </row>
    <row r="28" spans="1:7" ht="13.5">
      <c r="A28" s="481">
        <f t="shared" si="0"/>
        <v>9</v>
      </c>
      <c r="B28" s="459" t="s">
        <v>2251</v>
      </c>
      <c r="C28" s="460"/>
      <c r="D28" s="461"/>
      <c r="E28" s="461"/>
      <c r="F28" s="461"/>
      <c r="G28" s="482">
        <f>ROUND((D28*E28/1000000)*F28,4)</f>
        <v>0</v>
      </c>
    </row>
    <row r="29" spans="1:7" ht="13.5">
      <c r="A29" s="481">
        <f t="shared" si="0"/>
        <v>10</v>
      </c>
      <c r="B29" s="459" t="s">
        <v>2251</v>
      </c>
      <c r="C29" s="460"/>
      <c r="D29" s="461"/>
      <c r="E29" s="461"/>
      <c r="F29" s="461"/>
      <c r="G29" s="482">
        <f>ROUND((D29*E29/1000000)*F29,4)</f>
        <v>0</v>
      </c>
    </row>
    <row r="30" spans="1:7" ht="13.5">
      <c r="A30" s="481">
        <f t="shared" si="0"/>
        <v>11</v>
      </c>
      <c r="B30" s="459" t="s">
        <v>2251</v>
      </c>
      <c r="C30" s="460"/>
      <c r="D30" s="461"/>
      <c r="E30" s="461"/>
      <c r="F30" s="461"/>
      <c r="G30" s="482">
        <f>ROUND((D30*E30/1000000)*F30,4)</f>
        <v>0</v>
      </c>
    </row>
    <row r="31" spans="1:7" ht="13.5">
      <c r="A31" s="481">
        <f t="shared" si="0"/>
        <v>12</v>
      </c>
      <c r="B31" s="459" t="s">
        <v>2251</v>
      </c>
      <c r="C31" s="460"/>
      <c r="D31" s="461"/>
      <c r="E31" s="461"/>
      <c r="F31" s="461"/>
      <c r="G31" s="482">
        <f>ROUND((D31*E31/1000000)*F31,4)</f>
        <v>0</v>
      </c>
    </row>
    <row r="32" spans="1:7" ht="13.5">
      <c r="A32" s="481">
        <f t="shared" si="0"/>
        <v>13</v>
      </c>
      <c r="B32" s="459" t="s">
        <v>2251</v>
      </c>
      <c r="C32" s="460"/>
      <c r="D32" s="461"/>
      <c r="E32" s="461"/>
      <c r="F32" s="461"/>
      <c r="G32" s="482">
        <f>ROUND((D32*E32/1000000)*F32,4)</f>
        <v>0</v>
      </c>
    </row>
    <row r="33" spans="1:7" ht="13.5">
      <c r="A33" s="481">
        <f t="shared" si="0"/>
        <v>14</v>
      </c>
      <c r="B33" s="459" t="s">
        <v>2252</v>
      </c>
      <c r="C33" s="460"/>
      <c r="D33" s="461"/>
      <c r="E33" s="461"/>
      <c r="F33" s="461"/>
      <c r="G33" s="482">
        <f>ROUND((D33*E33/1000000)*F33,4)</f>
        <v>0</v>
      </c>
    </row>
    <row r="34" spans="1:7" ht="13.5">
      <c r="A34" s="481">
        <f t="shared" si="0"/>
        <v>15</v>
      </c>
      <c r="B34" s="459" t="s">
        <v>2252</v>
      </c>
      <c r="C34" s="460"/>
      <c r="D34" s="461"/>
      <c r="E34" s="461"/>
      <c r="F34" s="461"/>
      <c r="G34" s="482">
        <f>ROUND((D34*E34/1000000)*F34,4)</f>
        <v>0</v>
      </c>
    </row>
    <row r="35" spans="1:7" ht="13.5">
      <c r="A35" s="481">
        <f t="shared" si="0"/>
        <v>16</v>
      </c>
      <c r="B35" s="459" t="s">
        <v>2252</v>
      </c>
      <c r="C35" s="460"/>
      <c r="D35" s="461"/>
      <c r="E35" s="461"/>
      <c r="F35" s="461"/>
      <c r="G35" s="482">
        <f>ROUND((D35*E35/1000000)*F35,4)</f>
        <v>0</v>
      </c>
    </row>
    <row r="36" spans="1:7" ht="13.5">
      <c r="A36" s="481">
        <f t="shared" si="0"/>
        <v>17</v>
      </c>
      <c r="B36" s="459" t="s">
        <v>2252</v>
      </c>
      <c r="C36" s="460"/>
      <c r="D36" s="461"/>
      <c r="E36" s="461"/>
      <c r="F36" s="461"/>
      <c r="G36" s="482">
        <f>ROUND((D36*E36/1000000)*F36,4)</f>
        <v>0</v>
      </c>
    </row>
    <row r="37" spans="1:7" ht="13.5">
      <c r="A37" s="481">
        <f t="shared" si="0"/>
        <v>18</v>
      </c>
      <c r="B37" s="459" t="s">
        <v>2252</v>
      </c>
      <c r="C37" s="460"/>
      <c r="D37" s="461"/>
      <c r="E37" s="461"/>
      <c r="F37" s="461"/>
      <c r="G37" s="482">
        <f>ROUND((D37*E37/1000000)*F37,4)</f>
        <v>0</v>
      </c>
    </row>
    <row r="38" spans="1:7" ht="13.5">
      <c r="A38" s="481">
        <f t="shared" si="0"/>
        <v>19</v>
      </c>
      <c r="B38" s="459" t="s">
        <v>2252</v>
      </c>
      <c r="C38" s="460"/>
      <c r="D38" s="461"/>
      <c r="E38" s="461"/>
      <c r="F38" s="461"/>
      <c r="G38" s="482">
        <f>ROUND((D38*E38/1000000)*F38,4)</f>
        <v>0</v>
      </c>
    </row>
    <row r="39" spans="1:7" ht="13.5">
      <c r="A39" s="481">
        <f t="shared" si="0"/>
        <v>20</v>
      </c>
      <c r="B39" s="459" t="s">
        <v>2252</v>
      </c>
      <c r="C39" s="460"/>
      <c r="D39" s="461"/>
      <c r="E39" s="461"/>
      <c r="F39" s="461"/>
      <c r="G39" s="482">
        <f>ROUND((D39*E39/1000000)*F39,4)</f>
        <v>0</v>
      </c>
    </row>
    <row r="40" spans="1:7" ht="13.5">
      <c r="A40" s="481">
        <f t="shared" si="0"/>
        <v>21</v>
      </c>
      <c r="B40" s="459" t="s">
        <v>2252</v>
      </c>
      <c r="C40" s="460"/>
      <c r="D40" s="461"/>
      <c r="E40" s="461"/>
      <c r="F40" s="461"/>
      <c r="G40" s="482">
        <f>ROUND((D40*E40/1000000)*F40,4)</f>
        <v>0</v>
      </c>
    </row>
    <row r="41" spans="1:7" ht="13.5">
      <c r="A41" s="481">
        <f t="shared" si="0"/>
        <v>22</v>
      </c>
      <c r="B41" s="459" t="s">
        <v>2253</v>
      </c>
      <c r="C41" s="460"/>
      <c r="D41" s="461"/>
      <c r="E41" s="461"/>
      <c r="F41" s="461"/>
      <c r="G41" s="482">
        <f>ROUND((D41*E41/1000000)*F41,4)</f>
        <v>0</v>
      </c>
    </row>
    <row r="42" spans="1:7" ht="13.5">
      <c r="A42" s="481">
        <f t="shared" si="0"/>
        <v>23</v>
      </c>
      <c r="B42" s="459" t="s">
        <v>2253</v>
      </c>
      <c r="C42" s="460"/>
      <c r="D42" s="461"/>
      <c r="E42" s="461"/>
      <c r="F42" s="461"/>
      <c r="G42" s="482">
        <f>ROUND((D42*E42/1000000)*F42,4)</f>
        <v>0</v>
      </c>
    </row>
    <row r="43" spans="1:7" ht="13.5">
      <c r="A43" s="481">
        <f t="shared" si="0"/>
        <v>24</v>
      </c>
      <c r="B43" s="459" t="s">
        <v>2253</v>
      </c>
      <c r="C43" s="460"/>
      <c r="D43" s="461"/>
      <c r="E43" s="461"/>
      <c r="F43" s="461"/>
      <c r="G43" s="482">
        <f>ROUND((D43*E43/1000000)*F43,4)</f>
        <v>0</v>
      </c>
    </row>
    <row r="44" spans="1:7" ht="13.5">
      <c r="A44" s="481">
        <f t="shared" si="0"/>
        <v>25</v>
      </c>
      <c r="B44" s="459" t="s">
        <v>2251</v>
      </c>
      <c r="C44" s="460"/>
      <c r="D44" s="461"/>
      <c r="E44" s="461"/>
      <c r="F44" s="461"/>
      <c r="G44" s="482">
        <f>ROUND((D44*E44/1000000)*F44,4)</f>
        <v>0</v>
      </c>
    </row>
    <row r="45" spans="1:7" ht="13.5">
      <c r="A45" s="481">
        <f t="shared" si="0"/>
        <v>26</v>
      </c>
      <c r="B45" s="459" t="s">
        <v>2251</v>
      </c>
      <c r="C45" s="460"/>
      <c r="D45" s="461"/>
      <c r="E45" s="461"/>
      <c r="F45" s="461"/>
      <c r="G45" s="482">
        <f>ROUND((D45*E45/1000000)*F45,4)</f>
        <v>0</v>
      </c>
    </row>
    <row r="46" spans="1:7" ht="13.5">
      <c r="A46" s="481">
        <f t="shared" si="0"/>
        <v>27</v>
      </c>
      <c r="B46" s="459" t="s">
        <v>2251</v>
      </c>
      <c r="C46" s="460"/>
      <c r="D46" s="461"/>
      <c r="E46" s="461"/>
      <c r="F46" s="461"/>
      <c r="G46" s="482">
        <f>ROUND((D46*E46/1000000)*F46,4)</f>
        <v>0</v>
      </c>
    </row>
    <row r="47" spans="1:7" ht="13.5">
      <c r="A47" s="481">
        <f t="shared" si="0"/>
        <v>28</v>
      </c>
      <c r="B47" s="459" t="s">
        <v>2252</v>
      </c>
      <c r="C47" s="460"/>
      <c r="D47" s="461"/>
      <c r="E47" s="461"/>
      <c r="F47" s="461"/>
      <c r="G47" s="482">
        <f>ROUND((D47*E47/1000000)*F47,4)</f>
        <v>0</v>
      </c>
    </row>
    <row r="48" spans="1:7" ht="13.5">
      <c r="A48" s="481">
        <f t="shared" si="0"/>
        <v>29</v>
      </c>
      <c r="B48" s="459" t="s">
        <v>2252</v>
      </c>
      <c r="C48" s="460"/>
      <c r="D48" s="461"/>
      <c r="E48" s="461"/>
      <c r="F48" s="461"/>
      <c r="G48" s="482">
        <f>ROUND((D48*E48/1000000)*F48,4)</f>
        <v>0</v>
      </c>
    </row>
    <row r="49" spans="1:7" ht="13.5">
      <c r="A49" s="481">
        <f t="shared" si="0"/>
        <v>30</v>
      </c>
      <c r="B49" s="459" t="s">
        <v>2252</v>
      </c>
      <c r="C49" s="460"/>
      <c r="D49" s="461"/>
      <c r="E49" s="461"/>
      <c r="F49" s="461"/>
      <c r="G49" s="482">
        <f>ROUND((D49*E49/1000000)*F49,4)</f>
        <v>0</v>
      </c>
    </row>
    <row r="50" spans="1:7" ht="13.5">
      <c r="A50" s="481">
        <f t="shared" si="0"/>
        <v>31</v>
      </c>
      <c r="B50" s="459" t="s">
        <v>2252</v>
      </c>
      <c r="C50" s="460"/>
      <c r="D50" s="461"/>
      <c r="E50" s="461"/>
      <c r="F50" s="461"/>
      <c r="G50" s="482">
        <f>ROUND((D50*E50/1000000)*F50,4)</f>
        <v>0</v>
      </c>
    </row>
    <row r="51" spans="1:7" ht="13.5">
      <c r="A51" s="481">
        <f t="shared" si="0"/>
        <v>32</v>
      </c>
      <c r="B51" s="459" t="s">
        <v>2252</v>
      </c>
      <c r="C51" s="460"/>
      <c r="D51" s="461"/>
      <c r="E51" s="461"/>
      <c r="F51" s="461"/>
      <c r="G51" s="482">
        <f>ROUND((D51*E51/1000000)*F51,4)</f>
        <v>0</v>
      </c>
    </row>
    <row r="52" spans="1:7" ht="13.5">
      <c r="A52" s="481">
        <f t="shared" si="0"/>
        <v>33</v>
      </c>
      <c r="B52" s="459" t="s">
        <v>2252</v>
      </c>
      <c r="C52" s="460"/>
      <c r="D52" s="461"/>
      <c r="E52" s="461"/>
      <c r="F52" s="461"/>
      <c r="G52" s="482">
        <f>ROUND((D52*E52/1000000)*F52,4)</f>
        <v>0</v>
      </c>
    </row>
    <row r="53" spans="1:7" ht="13.5">
      <c r="A53" s="481">
        <f t="shared" si="0"/>
        <v>34</v>
      </c>
      <c r="B53" s="459" t="s">
        <v>2253</v>
      </c>
      <c r="C53" s="460"/>
      <c r="D53" s="461"/>
      <c r="E53" s="461"/>
      <c r="F53" s="461"/>
      <c r="G53" s="482">
        <f>ROUND((D53*E53/1000000)*F53,4)</f>
        <v>0</v>
      </c>
    </row>
    <row r="54" spans="1:7" ht="13.5">
      <c r="A54" s="481">
        <f t="shared" si="0"/>
        <v>35</v>
      </c>
      <c r="B54" s="459" t="s">
        <v>2253</v>
      </c>
      <c r="C54" s="460"/>
      <c r="D54" s="461"/>
      <c r="E54" s="461"/>
      <c r="F54" s="461"/>
      <c r="G54" s="482">
        <f>ROUND((D54*E54/1000000)*F54,4)</f>
        <v>0</v>
      </c>
    </row>
    <row r="55" spans="1:7" ht="13.5">
      <c r="A55" s="481">
        <f t="shared" si="0"/>
        <v>36</v>
      </c>
      <c r="B55" s="459" t="s">
        <v>2251</v>
      </c>
      <c r="C55" s="460"/>
      <c r="D55" s="461"/>
      <c r="E55" s="461"/>
      <c r="F55" s="461"/>
      <c r="G55" s="482">
        <f>ROUND((D55*E55/1000000)*F55,4)</f>
        <v>0</v>
      </c>
    </row>
    <row r="56" spans="1:7" ht="13.5">
      <c r="A56" s="481">
        <f t="shared" si="0"/>
        <v>37</v>
      </c>
      <c r="B56" s="459" t="s">
        <v>2251</v>
      </c>
      <c r="C56" s="460"/>
      <c r="D56" s="461"/>
      <c r="E56" s="461"/>
      <c r="F56" s="461"/>
      <c r="G56" s="482">
        <f>ROUND((D56*E56/1000000)*F56,4)</f>
        <v>0</v>
      </c>
    </row>
    <row r="57" spans="1:7" ht="13.5">
      <c r="A57" s="481">
        <f t="shared" si="0"/>
        <v>38</v>
      </c>
      <c r="B57" s="459" t="s">
        <v>2251</v>
      </c>
      <c r="C57" s="460"/>
      <c r="D57" s="461"/>
      <c r="E57" s="461"/>
      <c r="F57" s="461"/>
      <c r="G57" s="482">
        <f>ROUND((D57*E57/1000000)*F57,4)</f>
        <v>0</v>
      </c>
    </row>
    <row r="58" spans="1:7" ht="13.5">
      <c r="A58" s="481">
        <f t="shared" si="0"/>
        <v>39</v>
      </c>
      <c r="B58" s="459" t="s">
        <v>2251</v>
      </c>
      <c r="C58" s="460"/>
      <c r="D58" s="461"/>
      <c r="E58" s="461"/>
      <c r="F58" s="461"/>
      <c r="G58" s="482">
        <f>ROUND((D58*E58/1000000)*F58,4)</f>
        <v>0</v>
      </c>
    </row>
    <row r="59" spans="1:7" ht="13.5">
      <c r="A59" s="481">
        <f t="shared" si="0"/>
        <v>40</v>
      </c>
      <c r="B59" s="459" t="s">
        <v>2251</v>
      </c>
      <c r="C59" s="460"/>
      <c r="D59" s="461"/>
      <c r="E59" s="461"/>
      <c r="F59" s="461"/>
      <c r="G59" s="482">
        <f>ROUND((D59*E59/1000000)*F59,4)</f>
        <v>0</v>
      </c>
    </row>
    <row r="60" spans="1:7" ht="13.5">
      <c r="A60" s="481">
        <f t="shared" si="0"/>
        <v>41</v>
      </c>
      <c r="B60" s="459" t="s">
        <v>2254</v>
      </c>
      <c r="C60" s="460"/>
      <c r="D60" s="461"/>
      <c r="E60" s="461"/>
      <c r="F60" s="461"/>
      <c r="G60" s="482">
        <f>ROUND((D60*E60/1000000)*F60,4)</f>
        <v>0</v>
      </c>
    </row>
    <row r="61" spans="1:7" ht="13.5">
      <c r="A61" s="481">
        <f t="shared" si="0"/>
        <v>42</v>
      </c>
      <c r="B61" s="459" t="s">
        <v>2254</v>
      </c>
      <c r="C61" s="460"/>
      <c r="D61" s="461"/>
      <c r="E61" s="461"/>
      <c r="F61" s="461"/>
      <c r="G61" s="482">
        <f>ROUND((D61*E61/1000000)*F61,4)</f>
        <v>0</v>
      </c>
    </row>
    <row r="62" spans="1:7" ht="13.5">
      <c r="A62" s="481">
        <f t="shared" si="0"/>
        <v>43</v>
      </c>
      <c r="B62" s="459" t="s">
        <v>2254</v>
      </c>
      <c r="C62" s="460"/>
      <c r="D62" s="461"/>
      <c r="E62" s="461"/>
      <c r="F62" s="461"/>
      <c r="G62" s="482">
        <f>ROUND((D62*E62/1000000)*F62,4)</f>
        <v>0</v>
      </c>
    </row>
    <row r="63" spans="1:7" ht="13.5">
      <c r="A63" s="481">
        <f t="shared" si="0"/>
        <v>44</v>
      </c>
      <c r="B63" s="459" t="s">
        <v>2255</v>
      </c>
      <c r="C63" s="460"/>
      <c r="D63" s="461"/>
      <c r="E63" s="461"/>
      <c r="F63" s="461"/>
      <c r="G63" s="482">
        <f>ROUND((D63*E63/1000000)*F63,4)</f>
        <v>0</v>
      </c>
    </row>
    <row r="64" spans="1:7" ht="13.5">
      <c r="A64" s="481">
        <f t="shared" si="0"/>
        <v>45</v>
      </c>
      <c r="B64" s="459" t="s">
        <v>2255</v>
      </c>
      <c r="C64" s="460"/>
      <c r="D64" s="461"/>
      <c r="E64" s="461"/>
      <c r="F64" s="461"/>
      <c r="G64" s="482">
        <f>ROUND((D64*E64/1000000)*F64,4)</f>
        <v>0</v>
      </c>
    </row>
    <row r="65" spans="1:7" ht="13.5">
      <c r="A65" s="481">
        <f t="shared" si="0"/>
        <v>46</v>
      </c>
      <c r="B65" s="459" t="s">
        <v>2255</v>
      </c>
      <c r="C65" s="460"/>
      <c r="D65" s="461"/>
      <c r="E65" s="461"/>
      <c r="F65" s="461"/>
      <c r="G65" s="482">
        <f>ROUND((D65*E65/1000000)*F65,4)</f>
        <v>0</v>
      </c>
    </row>
    <row r="66" spans="1:7" ht="13.5">
      <c r="A66" s="481">
        <f t="shared" si="0"/>
        <v>47</v>
      </c>
      <c r="B66" s="459" t="s">
        <v>2255</v>
      </c>
      <c r="C66" s="460"/>
      <c r="D66" s="461"/>
      <c r="E66" s="461"/>
      <c r="F66" s="461"/>
      <c r="G66" s="482">
        <f>ROUND((D66*E66/1000000)*F66,4)</f>
        <v>0</v>
      </c>
    </row>
    <row r="67" spans="1:7" ht="13.5">
      <c r="A67" s="481">
        <f t="shared" si="0"/>
        <v>48</v>
      </c>
      <c r="B67" s="459" t="s">
        <v>2255</v>
      </c>
      <c r="C67" s="460"/>
      <c r="D67" s="461"/>
      <c r="E67" s="461"/>
      <c r="F67" s="461"/>
      <c r="G67" s="482">
        <f>ROUND((D67*E67/1000000)*F67,4)</f>
        <v>0</v>
      </c>
    </row>
    <row r="68" spans="1:7" ht="13.5">
      <c r="A68" s="481">
        <f t="shared" si="0"/>
        <v>49</v>
      </c>
      <c r="B68" s="459" t="s">
        <v>2255</v>
      </c>
      <c r="C68" s="460"/>
      <c r="D68" s="461"/>
      <c r="E68" s="461"/>
      <c r="F68" s="461"/>
      <c r="G68" s="482">
        <f>ROUND((D68*E68/1000000)*F68,4)</f>
        <v>0</v>
      </c>
    </row>
    <row r="69" spans="1:7" ht="13.5">
      <c r="A69" s="481">
        <f t="shared" si="0"/>
        <v>50</v>
      </c>
      <c r="B69" s="459" t="s">
        <v>2255</v>
      </c>
      <c r="C69" s="460"/>
      <c r="D69" s="461"/>
      <c r="E69" s="461"/>
      <c r="F69" s="461"/>
      <c r="G69" s="482">
        <f>ROUND((D69*E69/1000000)*F69,4)</f>
        <v>0</v>
      </c>
    </row>
    <row r="70" spans="1:7" ht="13.5">
      <c r="A70" s="481">
        <f t="shared" si="0"/>
        <v>51</v>
      </c>
      <c r="B70" s="459" t="s">
        <v>2255</v>
      </c>
      <c r="C70" s="460"/>
      <c r="D70" s="461"/>
      <c r="E70" s="461"/>
      <c r="F70" s="461"/>
      <c r="G70" s="482">
        <f>ROUND((D70*E70/1000000)*F70,4)</f>
        <v>0</v>
      </c>
    </row>
    <row r="71" spans="1:7" ht="15">
      <c r="A71" s="481">
        <f t="shared" si="0"/>
        <v>52</v>
      </c>
      <c r="B71" s="459" t="s">
        <v>2256</v>
      </c>
      <c r="C71" s="461"/>
      <c r="D71" s="461"/>
      <c r="E71" s="462"/>
      <c r="F71" s="463"/>
      <c r="G71" s="483"/>
    </row>
    <row r="72" spans="1:7" ht="15">
      <c r="A72" s="481">
        <f t="shared" si="0"/>
        <v>53</v>
      </c>
      <c r="B72" s="459" t="s">
        <v>2257</v>
      </c>
      <c r="C72" s="461"/>
      <c r="D72" s="461"/>
      <c r="E72" s="462"/>
      <c r="F72" s="463"/>
      <c r="G72" s="484"/>
    </row>
    <row r="73" spans="1:7" ht="15">
      <c r="A73" s="481">
        <f t="shared" si="0"/>
        <v>54</v>
      </c>
      <c r="B73" s="459" t="s">
        <v>2258</v>
      </c>
      <c r="C73" s="461"/>
      <c r="D73" s="461"/>
      <c r="E73" s="462"/>
      <c r="F73" s="463"/>
      <c r="G73" s="484"/>
    </row>
    <row r="74" spans="1:7" ht="15" customHeight="1">
      <c r="A74" s="481">
        <f t="shared" si="0"/>
        <v>55</v>
      </c>
      <c r="B74" s="485" t="s">
        <v>2259</v>
      </c>
      <c r="C74" s="461"/>
      <c r="D74" s="461"/>
      <c r="E74" s="462"/>
      <c r="F74" s="463"/>
      <c r="G74" s="483"/>
    </row>
    <row r="75" spans="1:7" ht="15">
      <c r="A75" s="481">
        <f t="shared" si="0"/>
        <v>56</v>
      </c>
      <c r="B75" s="486" t="s">
        <v>2260</v>
      </c>
      <c r="C75" s="461"/>
      <c r="D75" s="461"/>
      <c r="E75" s="462"/>
      <c r="F75" s="463"/>
      <c r="G75" s="483"/>
    </row>
    <row r="76" spans="1:7" ht="15" customHeight="1">
      <c r="A76" s="481">
        <f t="shared" si="0"/>
        <v>57</v>
      </c>
      <c r="B76" s="486" t="s">
        <v>35</v>
      </c>
      <c r="C76" s="461"/>
      <c r="D76" s="461"/>
      <c r="E76" s="462"/>
      <c r="F76" s="463"/>
      <c r="G76" s="483"/>
    </row>
    <row r="77" spans="1:7" ht="24.75" customHeight="1">
      <c r="A77" s="481">
        <f t="shared" si="0"/>
        <v>58</v>
      </c>
      <c r="B77" s="486" t="s">
        <v>2261</v>
      </c>
      <c r="C77" s="461"/>
      <c r="D77" s="461"/>
      <c r="E77" s="462"/>
      <c r="F77" s="461"/>
      <c r="G77" s="487"/>
    </row>
    <row r="78" spans="1:7" ht="15">
      <c r="A78" s="481">
        <f t="shared" si="0"/>
        <v>59</v>
      </c>
      <c r="B78" s="485" t="s">
        <v>2262</v>
      </c>
      <c r="C78" s="461"/>
      <c r="D78" s="461"/>
      <c r="E78" s="462"/>
      <c r="F78" s="461"/>
      <c r="G78" s="487"/>
    </row>
    <row r="79" spans="1:7" ht="15">
      <c r="A79" s="481">
        <f t="shared" si="0"/>
        <v>60</v>
      </c>
      <c r="B79" s="486" t="s">
        <v>2263</v>
      </c>
      <c r="C79" s="461"/>
      <c r="D79" s="461"/>
      <c r="E79" s="462"/>
      <c r="F79" s="461"/>
      <c r="G79" s="487"/>
    </row>
    <row r="80" spans="1:7" ht="15">
      <c r="A80" s="481">
        <f t="shared" si="0"/>
        <v>61</v>
      </c>
      <c r="B80" s="461" t="s">
        <v>2264</v>
      </c>
      <c r="C80" s="461"/>
      <c r="D80" s="461"/>
      <c r="E80" s="462"/>
      <c r="F80" s="461"/>
      <c r="G80" s="487"/>
    </row>
    <row r="81" spans="1:7" ht="15">
      <c r="A81" s="481">
        <f t="shared" si="0"/>
        <v>62</v>
      </c>
      <c r="B81" s="461" t="s">
        <v>2265</v>
      </c>
      <c r="C81" s="461"/>
      <c r="D81" s="461"/>
      <c r="E81" s="462"/>
      <c r="F81" s="461"/>
      <c r="G81" s="487"/>
    </row>
    <row r="82" spans="1:7" ht="15">
      <c r="A82" s="481">
        <f t="shared" si="0"/>
        <v>63</v>
      </c>
      <c r="B82" s="461" t="s">
        <v>2266</v>
      </c>
      <c r="C82" s="461"/>
      <c r="D82" s="461"/>
      <c r="E82" s="462"/>
      <c r="F82" s="461"/>
      <c r="G82" s="487"/>
    </row>
    <row r="83" spans="1:7" ht="15">
      <c r="A83" s="481">
        <f t="shared" si="0"/>
        <v>64</v>
      </c>
      <c r="B83" s="461" t="s">
        <v>2267</v>
      </c>
      <c r="C83" s="461"/>
      <c r="D83" s="461"/>
      <c r="E83" s="462"/>
      <c r="F83" s="461"/>
      <c r="G83" s="487"/>
    </row>
    <row r="84" spans="1:7" ht="15">
      <c r="A84" s="481">
        <f t="shared" si="0"/>
        <v>65</v>
      </c>
      <c r="B84" s="461" t="s">
        <v>2268</v>
      </c>
      <c r="C84" s="461"/>
      <c r="D84" s="461"/>
      <c r="E84" s="462"/>
      <c r="F84" s="461"/>
      <c r="G84" s="487"/>
    </row>
    <row r="85" spans="1:7" ht="15">
      <c r="A85" s="481">
        <f t="shared" si="0"/>
        <v>66</v>
      </c>
      <c r="B85" s="461" t="s">
        <v>2269</v>
      </c>
      <c r="C85" s="461"/>
      <c r="D85" s="461"/>
      <c r="E85" s="462"/>
      <c r="F85" s="461"/>
      <c r="G85" s="487"/>
    </row>
    <row r="86" spans="1:7" ht="15">
      <c r="A86" s="481">
        <f>A85+1</f>
        <v>67</v>
      </c>
      <c r="B86" s="461" t="s">
        <v>2270</v>
      </c>
      <c r="C86" s="461"/>
      <c r="D86" s="461"/>
      <c r="E86" s="462"/>
      <c r="F86" s="461"/>
      <c r="G86" s="487"/>
    </row>
    <row r="87" spans="1:7" ht="15">
      <c r="A87" s="481">
        <f>A86+1</f>
        <v>68</v>
      </c>
      <c r="B87" s="461" t="s">
        <v>2271</v>
      </c>
      <c r="C87" s="461"/>
      <c r="D87" s="461"/>
      <c r="E87" s="462"/>
      <c r="F87" s="461"/>
      <c r="G87" s="487"/>
    </row>
    <row r="88" spans="1:7" ht="15">
      <c r="A88" s="481">
        <f>A87+1</f>
        <v>69</v>
      </c>
      <c r="B88" s="486" t="s">
        <v>2272</v>
      </c>
      <c r="C88" s="461"/>
      <c r="D88" s="461"/>
      <c r="E88" s="462"/>
      <c r="F88" s="461"/>
      <c r="G88" s="487"/>
    </row>
    <row r="89" spans="1:7" ht="15" customHeight="1" thickBot="1">
      <c r="A89" s="488">
        <f>A88+1</f>
        <v>70</v>
      </c>
      <c r="B89" s="489" t="s">
        <v>2273</v>
      </c>
      <c r="C89" s="490"/>
      <c r="D89" s="490"/>
      <c r="E89" s="491"/>
      <c r="F89" s="490"/>
      <c r="G89" s="492"/>
    </row>
  </sheetData>
  <sheetProtection/>
  <mergeCells count="15">
    <mergeCell ref="A8:G8"/>
    <mergeCell ref="C12:G12"/>
    <mergeCell ref="C13:G13"/>
    <mergeCell ref="C14:G14"/>
    <mergeCell ref="C15:G15"/>
    <mergeCell ref="C16:G16"/>
    <mergeCell ref="C17:G17"/>
    <mergeCell ref="C18:G18"/>
    <mergeCell ref="A16:B16"/>
    <mergeCell ref="A17:B17"/>
    <mergeCell ref="A18:B18"/>
    <mergeCell ref="A12:B12"/>
    <mergeCell ref="A13:B13"/>
    <mergeCell ref="A14:B14"/>
    <mergeCell ref="A15:B15"/>
  </mergeCells>
  <printOptions gridLines="1"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R1026"/>
  <sheetViews>
    <sheetView showGridLines="0" zoomScaleSheetLayoutView="100" zoomScalePageLayoutView="0" workbookViewId="0" topLeftCell="B1">
      <selection activeCell="B13" sqref="B13:K13"/>
    </sheetView>
  </sheetViews>
  <sheetFormatPr defaultColWidth="9.140625" defaultRowHeight="12.75"/>
  <cols>
    <col min="1" max="1" width="19.57421875" style="12" hidden="1" customWidth="1"/>
    <col min="2" max="2" width="58.140625" style="12" customWidth="1"/>
    <col min="3" max="3" width="7.7109375" style="13" customWidth="1"/>
    <col min="4" max="4" width="10.28125" style="13" customWidth="1"/>
    <col min="5" max="6" width="11.7109375" style="13" customWidth="1"/>
    <col min="7" max="7" width="10.8515625" style="13" customWidth="1"/>
    <col min="8" max="10" width="11.7109375" style="13" customWidth="1"/>
    <col min="11" max="11" width="13.140625" style="13" customWidth="1"/>
    <col min="12" max="12" width="8.140625" style="13" customWidth="1"/>
    <col min="13" max="16384" width="9.140625" style="13" customWidth="1"/>
  </cols>
  <sheetData>
    <row r="1" spans="1:10" ht="13.5" customHeight="1">
      <c r="A1" s="11"/>
      <c r="B1" s="11"/>
      <c r="C1" s="60"/>
      <c r="D1" s="61"/>
      <c r="E1" s="62"/>
      <c r="F1" s="62"/>
      <c r="G1" s="62"/>
      <c r="H1" s="62"/>
      <c r="I1" s="62"/>
      <c r="J1" s="62"/>
    </row>
    <row r="2" spans="1:10" ht="14.25" customHeight="1">
      <c r="A2" s="11"/>
      <c r="B2" s="11"/>
      <c r="C2" s="60"/>
      <c r="D2" s="61"/>
      <c r="E2" s="62"/>
      <c r="F2" s="62"/>
      <c r="G2" s="62"/>
      <c r="H2" s="62"/>
      <c r="I2" s="62"/>
      <c r="J2" s="62"/>
    </row>
    <row r="3" spans="1:10" ht="15.75" customHeight="1">
      <c r="A3" s="11"/>
      <c r="B3" s="11"/>
      <c r="C3" s="60"/>
      <c r="D3" s="61"/>
      <c r="E3" s="62"/>
      <c r="F3" s="62"/>
      <c r="G3" s="62"/>
      <c r="H3" s="62"/>
      <c r="I3" s="62"/>
      <c r="J3" s="62"/>
    </row>
    <row r="4" spans="3:10" ht="12.75">
      <c r="C4" s="60"/>
      <c r="D4" s="61"/>
      <c r="E4" s="62"/>
      <c r="F4" s="62"/>
      <c r="G4" s="62"/>
      <c r="H4" s="63"/>
      <c r="I4" s="62"/>
      <c r="J4" s="62"/>
    </row>
    <row r="5" spans="3:11" ht="12.75">
      <c r="C5" s="14"/>
      <c r="H5" s="58"/>
      <c r="K5" s="59"/>
    </row>
    <row r="6" spans="3:11" ht="12.75">
      <c r="C6" s="14"/>
      <c r="H6" s="58"/>
      <c r="K6" s="59"/>
    </row>
    <row r="7" spans="2:11" ht="105.75" customHeight="1">
      <c r="B7" s="465" t="s">
        <v>2235</v>
      </c>
      <c r="C7" s="465"/>
      <c r="D7" s="465"/>
      <c r="E7" s="465"/>
      <c r="F7" s="465"/>
      <c r="G7" s="465"/>
      <c r="H7" s="465"/>
      <c r="I7" s="465"/>
      <c r="J7" s="465"/>
      <c r="K7" s="465"/>
    </row>
    <row r="8" spans="2:11" ht="26.25" customHeight="1">
      <c r="B8" s="194"/>
      <c r="C8" s="194"/>
      <c r="D8" s="194"/>
      <c r="E8" s="194"/>
      <c r="F8" s="194"/>
      <c r="G8" s="194"/>
      <c r="H8" s="194"/>
      <c r="I8" s="195"/>
      <c r="J8" s="195"/>
      <c r="K8" s="195"/>
    </row>
    <row r="9" spans="2:11" ht="20.25">
      <c r="B9" s="372" t="s">
        <v>1381</v>
      </c>
      <c r="C9" s="373"/>
      <c r="D9" s="373"/>
      <c r="E9" s="373"/>
      <c r="F9" s="373"/>
      <c r="G9" s="373"/>
      <c r="H9" s="373"/>
      <c r="I9" s="373"/>
      <c r="J9" s="373"/>
      <c r="K9" s="373"/>
    </row>
    <row r="10" spans="2:12" ht="20.25" customHeight="1">
      <c r="B10" s="372" t="s">
        <v>1503</v>
      </c>
      <c r="C10" s="373"/>
      <c r="D10" s="373"/>
      <c r="E10" s="373"/>
      <c r="F10" s="373"/>
      <c r="G10" s="373"/>
      <c r="H10" s="373"/>
      <c r="I10" s="373"/>
      <c r="J10" s="373"/>
      <c r="K10" s="373"/>
      <c r="L10" s="15"/>
    </row>
    <row r="11" spans="2:11" ht="24" customHeight="1">
      <c r="B11" s="357" t="s">
        <v>1380</v>
      </c>
      <c r="C11" s="357"/>
      <c r="D11" s="357"/>
      <c r="E11" s="357"/>
      <c r="F11" s="357"/>
      <c r="G11" s="357"/>
      <c r="H11" s="357"/>
      <c r="I11" s="357"/>
      <c r="J11" s="357"/>
      <c r="K11" s="357"/>
    </row>
    <row r="12" spans="2:11" ht="24" customHeight="1" thickBot="1">
      <c r="B12" s="102"/>
      <c r="C12" s="102"/>
      <c r="D12" s="102"/>
      <c r="E12" s="102"/>
      <c r="F12" s="102"/>
      <c r="G12" s="102"/>
      <c r="H12" s="102"/>
      <c r="I12" s="102"/>
      <c r="J12" s="102"/>
      <c r="K12" s="102"/>
    </row>
    <row r="13" spans="2:12" ht="21" customHeight="1" thickBot="1">
      <c r="B13" s="356" t="s">
        <v>1</v>
      </c>
      <c r="C13" s="334"/>
      <c r="D13" s="334"/>
      <c r="E13" s="334"/>
      <c r="F13" s="334"/>
      <c r="G13" s="334"/>
      <c r="H13" s="334"/>
      <c r="I13" s="334"/>
      <c r="J13" s="334"/>
      <c r="K13" s="335"/>
      <c r="L13" s="16"/>
    </row>
    <row r="14" spans="2:12" ht="21" thickBot="1">
      <c r="B14" s="325" t="s">
        <v>106</v>
      </c>
      <c r="C14" s="354"/>
      <c r="D14" s="354"/>
      <c r="E14" s="354"/>
      <c r="F14" s="354"/>
      <c r="G14" s="354"/>
      <c r="H14" s="354"/>
      <c r="I14" s="354"/>
      <c r="J14" s="354"/>
      <c r="K14" s="355"/>
      <c r="L14" s="17"/>
    </row>
    <row r="15" spans="1:12" ht="15" customHeight="1" thickBot="1">
      <c r="A15" s="353" t="s">
        <v>68</v>
      </c>
      <c r="B15" s="314" t="s">
        <v>2</v>
      </c>
      <c r="C15" s="382" t="s">
        <v>1379</v>
      </c>
      <c r="D15" s="316" t="s">
        <v>845</v>
      </c>
      <c r="E15" s="317"/>
      <c r="F15" s="317"/>
      <c r="G15" s="318"/>
      <c r="H15" s="316" t="s">
        <v>846</v>
      </c>
      <c r="I15" s="317"/>
      <c r="J15" s="317"/>
      <c r="K15" s="318"/>
      <c r="L15" s="19"/>
    </row>
    <row r="16" spans="1:12" ht="15" customHeight="1" thickBot="1">
      <c r="A16" s="353"/>
      <c r="B16" s="364"/>
      <c r="C16" s="313"/>
      <c r="D16" s="105" t="s">
        <v>847</v>
      </c>
      <c r="E16" s="103" t="s">
        <v>4</v>
      </c>
      <c r="F16" s="105" t="s">
        <v>5</v>
      </c>
      <c r="G16" s="104" t="s">
        <v>1420</v>
      </c>
      <c r="H16" s="106" t="s">
        <v>847</v>
      </c>
      <c r="I16" s="105" t="s">
        <v>4</v>
      </c>
      <c r="J16" s="103" t="s">
        <v>5</v>
      </c>
      <c r="K16" s="105" t="s">
        <v>1420</v>
      </c>
      <c r="L16" s="57"/>
    </row>
    <row r="17" spans="1:18" ht="15" customHeight="1">
      <c r="A17" s="73" t="s">
        <v>858</v>
      </c>
      <c r="B17" s="130" t="s">
        <v>60</v>
      </c>
      <c r="C17" s="111" t="s">
        <v>0</v>
      </c>
      <c r="D17" s="216">
        <f>4958*(100%+20%)</f>
        <v>5949.599999999999</v>
      </c>
      <c r="E17" s="217">
        <f>5861*(100%+20%)</f>
        <v>7033.2</v>
      </c>
      <c r="F17" s="217">
        <f>7414*(100%+20%)</f>
        <v>8896.8</v>
      </c>
      <c r="G17" s="218">
        <f>7414*(100%+20%)</f>
        <v>8896.8</v>
      </c>
      <c r="H17" s="216">
        <f>8118*(100%+20%)</f>
        <v>9741.6</v>
      </c>
      <c r="I17" s="217">
        <f>9021*(100%+20%)</f>
        <v>10825.199999999999</v>
      </c>
      <c r="J17" s="217">
        <f>10574*(100%+20%)</f>
        <v>12688.8</v>
      </c>
      <c r="K17" s="219">
        <f>10574*(100%+20%)</f>
        <v>12688.8</v>
      </c>
      <c r="L17" s="70"/>
      <c r="M17" s="70"/>
      <c r="N17" s="71"/>
      <c r="O17" s="70"/>
      <c r="P17" s="70"/>
      <c r="Q17" s="70"/>
      <c r="R17" s="70"/>
    </row>
    <row r="18" spans="1:18" ht="15" customHeight="1">
      <c r="A18" s="74" t="s">
        <v>859</v>
      </c>
      <c r="B18" s="131" t="s">
        <v>6</v>
      </c>
      <c r="C18" s="112" t="s">
        <v>0</v>
      </c>
      <c r="D18" s="220">
        <f>4236*(100%+20%)</f>
        <v>5083.2</v>
      </c>
      <c r="E18" s="221">
        <f>5058*(100%+20%)</f>
        <v>6069.599999999999</v>
      </c>
      <c r="F18" s="221">
        <f>6473*(100%+20%)</f>
        <v>7767.599999999999</v>
      </c>
      <c r="G18" s="222">
        <f>6473*(100%+20%)</f>
        <v>7767.599999999999</v>
      </c>
      <c r="H18" s="220">
        <f>7396*(100%+20%)</f>
        <v>8875.199999999999</v>
      </c>
      <c r="I18" s="221">
        <f>8218*(100%+20%)</f>
        <v>9861.6</v>
      </c>
      <c r="J18" s="221">
        <f>9633*(100%+20%)</f>
        <v>11559.6</v>
      </c>
      <c r="K18" s="223">
        <f>9633*(100%+20%)</f>
        <v>11559.6</v>
      </c>
      <c r="L18" s="70"/>
      <c r="M18" s="70"/>
      <c r="N18" s="72"/>
      <c r="O18" s="70"/>
      <c r="P18" s="70"/>
      <c r="Q18" s="70"/>
      <c r="R18" s="70"/>
    </row>
    <row r="19" spans="1:18" ht="15" customHeight="1">
      <c r="A19" s="74"/>
      <c r="B19" s="131" t="s">
        <v>7</v>
      </c>
      <c r="C19" s="112" t="s">
        <v>0</v>
      </c>
      <c r="D19" s="220">
        <f>6360*(100%+20%)</f>
        <v>7632</v>
      </c>
      <c r="E19" s="221">
        <f>7418*(100%+20%)</f>
        <v>8901.6</v>
      </c>
      <c r="F19" s="221">
        <f>9241*(100%+20%)</f>
        <v>11089.199999999999</v>
      </c>
      <c r="G19" s="222">
        <f>9241*(100%+20%)</f>
        <v>11089.199999999999</v>
      </c>
      <c r="H19" s="220">
        <f>9520*(100%+20%)</f>
        <v>11424</v>
      </c>
      <c r="I19" s="221">
        <f>10579*(100%+20%)</f>
        <v>12694.8</v>
      </c>
      <c r="J19" s="221">
        <f>12402*(100%+20%)</f>
        <v>14882.4</v>
      </c>
      <c r="K19" s="223">
        <f>12402*(100%+20%)</f>
        <v>14882.4</v>
      </c>
      <c r="L19" s="70"/>
      <c r="M19" s="70"/>
      <c r="N19" s="72"/>
      <c r="O19" s="70"/>
      <c r="P19" s="70"/>
      <c r="Q19" s="70"/>
      <c r="R19" s="70"/>
    </row>
    <row r="20" spans="1:18" ht="15" customHeight="1">
      <c r="A20" s="74" t="s">
        <v>860</v>
      </c>
      <c r="B20" s="131" t="s">
        <v>1436</v>
      </c>
      <c r="C20" s="112" t="s">
        <v>0</v>
      </c>
      <c r="D20" s="220">
        <f>4597*(100%+20%)</f>
        <v>5516.4</v>
      </c>
      <c r="E20" s="221">
        <f>5459*(100%+20%)</f>
        <v>6550.8</v>
      </c>
      <c r="F20" s="221">
        <f>6943*(100%+20%)</f>
        <v>8331.6</v>
      </c>
      <c r="G20" s="222">
        <f>6943*(100%+20%)</f>
        <v>8331.6</v>
      </c>
      <c r="H20" s="220">
        <f>7758*(100%+20%)</f>
        <v>9309.6</v>
      </c>
      <c r="I20" s="221">
        <f>8619*(100%+20%)</f>
        <v>10342.8</v>
      </c>
      <c r="J20" s="221">
        <f>10104*(100%+20%)</f>
        <v>12124.8</v>
      </c>
      <c r="K20" s="223">
        <f>10104*(100%+20%)</f>
        <v>12124.8</v>
      </c>
      <c r="L20" s="70"/>
      <c r="M20" s="70"/>
      <c r="N20" s="72"/>
      <c r="O20" s="70"/>
      <c r="P20" s="70"/>
      <c r="Q20" s="70"/>
      <c r="R20" s="70"/>
    </row>
    <row r="21" spans="1:18" ht="15" customHeight="1">
      <c r="A21" s="74" t="s">
        <v>861</v>
      </c>
      <c r="B21" s="131" t="s">
        <v>8</v>
      </c>
      <c r="C21" s="112" t="s">
        <v>9</v>
      </c>
      <c r="D21" s="220">
        <f>6964*(100%+20%)</f>
        <v>8356.8</v>
      </c>
      <c r="E21" s="221">
        <f>6964*(100%+20%)</f>
        <v>8356.8</v>
      </c>
      <c r="F21" s="221">
        <f>8426*(100%+20%)</f>
        <v>10111.199999999999</v>
      </c>
      <c r="G21" s="222">
        <f>8426*(100%+20%)</f>
        <v>10111.199999999999</v>
      </c>
      <c r="H21" s="220">
        <f>8481*(100%+20%)</f>
        <v>10177.199999999999</v>
      </c>
      <c r="I21" s="221">
        <f>8481*(100%+20%)</f>
        <v>10177.199999999999</v>
      </c>
      <c r="J21" s="221">
        <f>9943*(100%+20%)</f>
        <v>11931.6</v>
      </c>
      <c r="K21" s="223">
        <f>9943*(100%+20%)</f>
        <v>11931.6</v>
      </c>
      <c r="L21" s="70"/>
      <c r="M21" s="70"/>
      <c r="N21" s="215"/>
      <c r="O21" s="70"/>
      <c r="P21" s="70"/>
      <c r="Q21" s="70"/>
      <c r="R21" s="70"/>
    </row>
    <row r="22" spans="1:18" ht="15" customHeight="1">
      <c r="A22" s="74" t="s">
        <v>862</v>
      </c>
      <c r="B22" s="131" t="s">
        <v>10</v>
      </c>
      <c r="C22" s="112" t="s">
        <v>9</v>
      </c>
      <c r="D22" s="220">
        <f>3383*(100%+20%)</f>
        <v>4059.6</v>
      </c>
      <c r="E22" s="221">
        <f>3383*(100%+20%)</f>
        <v>4059.6</v>
      </c>
      <c r="F22" s="221">
        <f>4228*(100%+20%)</f>
        <v>5073.599999999999</v>
      </c>
      <c r="G22" s="222">
        <f>4228*(100%+20%)</f>
        <v>5073.599999999999</v>
      </c>
      <c r="H22" s="220">
        <f>4900*(100%+20%)</f>
        <v>5880</v>
      </c>
      <c r="I22" s="221">
        <f>4900*(100%+20%)</f>
        <v>5880</v>
      </c>
      <c r="J22" s="221">
        <f>5744*(100%+20%)</f>
        <v>6892.8</v>
      </c>
      <c r="K22" s="223">
        <f>5744*(100%+20%)</f>
        <v>6892.8</v>
      </c>
      <c r="L22" s="70"/>
      <c r="M22" s="70"/>
      <c r="N22" s="72"/>
      <c r="O22" s="70"/>
      <c r="P22" s="70"/>
      <c r="Q22" s="70"/>
      <c r="R22" s="70"/>
    </row>
    <row r="23" spans="1:18" ht="15" customHeight="1">
      <c r="A23" s="74" t="s">
        <v>863</v>
      </c>
      <c r="B23" s="131" t="s">
        <v>11</v>
      </c>
      <c r="C23" s="112" t="s">
        <v>9</v>
      </c>
      <c r="D23" s="220">
        <f>7640*(100%+20%)</f>
        <v>9168</v>
      </c>
      <c r="E23" s="221">
        <f>7640*(100%+20%)</f>
        <v>9168</v>
      </c>
      <c r="F23" s="221">
        <f>9218*(100%+20%)</f>
        <v>11061.6</v>
      </c>
      <c r="G23" s="222">
        <f>9218*(100%+20%)</f>
        <v>11061.6</v>
      </c>
      <c r="H23" s="220">
        <f>9156*(100%+20%)</f>
        <v>10987.199999999999</v>
      </c>
      <c r="I23" s="221">
        <f>9156*(100%+20%)</f>
        <v>10987.199999999999</v>
      </c>
      <c r="J23" s="221">
        <f>10734*(100%+20%)</f>
        <v>12880.8</v>
      </c>
      <c r="K23" s="223">
        <f>10734*(100%+20%)</f>
        <v>12880.8</v>
      </c>
      <c r="L23" s="70"/>
      <c r="M23" s="70"/>
      <c r="N23" s="72"/>
      <c r="O23" s="70"/>
      <c r="P23" s="70"/>
      <c r="Q23" s="70"/>
      <c r="R23" s="70"/>
    </row>
    <row r="24" spans="1:18" ht="15" customHeight="1">
      <c r="A24" s="74" t="s">
        <v>864</v>
      </c>
      <c r="B24" s="131" t="s">
        <v>62</v>
      </c>
      <c r="C24" s="111" t="s">
        <v>0</v>
      </c>
      <c r="D24" s="224">
        <f>5744*(100%+20%)</f>
        <v>6892.8</v>
      </c>
      <c r="E24" s="225">
        <f>6733*(100%+20%)</f>
        <v>8079.599999999999</v>
      </c>
      <c r="F24" s="225">
        <f>8438*(100%+20%)</f>
        <v>10125.6</v>
      </c>
      <c r="G24" s="226">
        <f>8438*(100%+20%)</f>
        <v>10125.6</v>
      </c>
      <c r="H24" s="224">
        <f>8904*(100%+20%)</f>
        <v>10684.8</v>
      </c>
      <c r="I24" s="225">
        <f>9894*(100%+20%)</f>
        <v>11872.8</v>
      </c>
      <c r="J24" s="225">
        <f>11599*(100%+20%)</f>
        <v>13918.8</v>
      </c>
      <c r="K24" s="227">
        <f>11599*(100%+20%)</f>
        <v>13918.8</v>
      </c>
      <c r="L24" s="70"/>
      <c r="M24" s="70"/>
      <c r="N24" s="72"/>
      <c r="O24" s="70"/>
      <c r="P24" s="70"/>
      <c r="Q24" s="70"/>
      <c r="R24" s="70"/>
    </row>
    <row r="25" spans="1:18" ht="15" customHeight="1">
      <c r="A25" s="74" t="s">
        <v>865</v>
      </c>
      <c r="B25" s="131" t="s">
        <v>63</v>
      </c>
      <c r="C25" s="112" t="s">
        <v>0</v>
      </c>
      <c r="D25" s="224">
        <f>4940*(100%+20%)</f>
        <v>5928</v>
      </c>
      <c r="E25" s="225">
        <f>5839*(100%+20%)</f>
        <v>7006.8</v>
      </c>
      <c r="F25" s="225">
        <f>7391*(100%+20%)</f>
        <v>8869.199999999999</v>
      </c>
      <c r="G25" s="226">
        <f>7391*(100%+20%)</f>
        <v>8869.199999999999</v>
      </c>
      <c r="H25" s="224">
        <f>8100*(100%+20%)</f>
        <v>9720</v>
      </c>
      <c r="I25" s="225">
        <f>8999*(100%+20%)</f>
        <v>10798.8</v>
      </c>
      <c r="J25" s="225">
        <f>10551*(100%+20%)</f>
        <v>12661.199999999999</v>
      </c>
      <c r="K25" s="227">
        <f>10551*(100%+20%)</f>
        <v>12661.199999999999</v>
      </c>
      <c r="L25" s="70"/>
      <c r="M25" s="70"/>
      <c r="N25" s="72"/>
      <c r="O25" s="70"/>
      <c r="P25" s="70"/>
      <c r="Q25" s="70"/>
      <c r="R25" s="70"/>
    </row>
    <row r="26" spans="1:18" ht="15" customHeight="1">
      <c r="A26" s="74" t="s">
        <v>866</v>
      </c>
      <c r="B26" s="131" t="s">
        <v>64</v>
      </c>
      <c r="C26" s="111" t="s">
        <v>0</v>
      </c>
      <c r="D26" s="224">
        <f>5744*(100%+20%)</f>
        <v>6892.8</v>
      </c>
      <c r="E26" s="225">
        <f>6733*(100%+20%)</f>
        <v>8079.599999999999</v>
      </c>
      <c r="F26" s="225">
        <f>8438*(100%+20%)</f>
        <v>10125.6</v>
      </c>
      <c r="G26" s="226">
        <f>8438*(100%+20%)</f>
        <v>10125.6</v>
      </c>
      <c r="H26" s="224">
        <f>8904*(100%+20%)</f>
        <v>10684.8</v>
      </c>
      <c r="I26" s="225">
        <f>9894*(100%+20%)</f>
        <v>11872.8</v>
      </c>
      <c r="J26" s="225">
        <f>11599*(100%+20%)</f>
        <v>13918.8</v>
      </c>
      <c r="K26" s="227">
        <f>11599*(100%+20%)</f>
        <v>13918.8</v>
      </c>
      <c r="L26" s="70"/>
      <c r="M26" s="70"/>
      <c r="N26" s="72"/>
      <c r="O26" s="70"/>
      <c r="P26" s="70"/>
      <c r="Q26" s="70"/>
      <c r="R26" s="70"/>
    </row>
    <row r="27" spans="1:18" ht="15" customHeight="1">
      <c r="A27" s="74" t="s">
        <v>867</v>
      </c>
      <c r="B27" s="131" t="s">
        <v>65</v>
      </c>
      <c r="C27" s="112" t="s">
        <v>0</v>
      </c>
      <c r="D27" s="224">
        <f>4940*(100%+20%)</f>
        <v>5928</v>
      </c>
      <c r="E27" s="225">
        <f>5839*(100%+20%)</f>
        <v>7006.8</v>
      </c>
      <c r="F27" s="225">
        <f>7391*(100%+20%)</f>
        <v>8869.199999999999</v>
      </c>
      <c r="G27" s="226">
        <f>7391*(100%+20%)</f>
        <v>8869.199999999999</v>
      </c>
      <c r="H27" s="224">
        <f>8100*(100%+20%)</f>
        <v>9720</v>
      </c>
      <c r="I27" s="225">
        <f>8999*(100%+20%)</f>
        <v>10798.8</v>
      </c>
      <c r="J27" s="225">
        <f>10551*(100%+20%)</f>
        <v>12661.199999999999</v>
      </c>
      <c r="K27" s="227">
        <f>10551*(100%+20%)</f>
        <v>12661.199999999999</v>
      </c>
      <c r="L27" s="70"/>
      <c r="M27" s="70"/>
      <c r="N27" s="72"/>
      <c r="O27" s="70"/>
      <c r="P27" s="70"/>
      <c r="Q27" s="70"/>
      <c r="R27" s="70"/>
    </row>
    <row r="28" spans="1:18" ht="15" customHeight="1">
      <c r="A28" s="74" t="s">
        <v>868</v>
      </c>
      <c r="B28" s="131" t="s">
        <v>66</v>
      </c>
      <c r="C28" s="111" t="s">
        <v>0</v>
      </c>
      <c r="D28" s="224">
        <f>5744*(100%+20%)</f>
        <v>6892.8</v>
      </c>
      <c r="E28" s="225">
        <f>6733*(100%+20%)</f>
        <v>8079.599999999999</v>
      </c>
      <c r="F28" s="225">
        <f>8438*(100%+20%)</f>
        <v>10125.6</v>
      </c>
      <c r="G28" s="226">
        <f>8438*(100%+20%)</f>
        <v>10125.6</v>
      </c>
      <c r="H28" s="224">
        <f>8904*(100%+20%)</f>
        <v>10684.8</v>
      </c>
      <c r="I28" s="225">
        <f>9894*(100%+20%)</f>
        <v>11872.8</v>
      </c>
      <c r="J28" s="225">
        <f>11599*(100%+20%)</f>
        <v>13918.8</v>
      </c>
      <c r="K28" s="227">
        <f>11599*(100%+20%)</f>
        <v>13918.8</v>
      </c>
      <c r="L28" s="70"/>
      <c r="M28" s="70"/>
      <c r="N28" s="72"/>
      <c r="O28" s="70"/>
      <c r="P28" s="70"/>
      <c r="Q28" s="70"/>
      <c r="R28" s="70"/>
    </row>
    <row r="29" spans="1:18" ht="15" customHeight="1">
      <c r="A29" s="74" t="s">
        <v>869</v>
      </c>
      <c r="B29" s="131" t="s">
        <v>67</v>
      </c>
      <c r="C29" s="112" t="s">
        <v>0</v>
      </c>
      <c r="D29" s="224">
        <f>4940*(100%+20%)</f>
        <v>5928</v>
      </c>
      <c r="E29" s="225">
        <f>5839*(100%+20%)</f>
        <v>7006.8</v>
      </c>
      <c r="F29" s="225">
        <f>7391*(100%+20%)</f>
        <v>8869.199999999999</v>
      </c>
      <c r="G29" s="226">
        <f>7391*(100%+20%)</f>
        <v>8869.199999999999</v>
      </c>
      <c r="H29" s="224">
        <f>8100*(100%+20%)</f>
        <v>9720</v>
      </c>
      <c r="I29" s="225">
        <f>8999*(100%+20%)</f>
        <v>10798.8</v>
      </c>
      <c r="J29" s="225">
        <f>10551*(100%+20%)</f>
        <v>12661.199999999999</v>
      </c>
      <c r="K29" s="227">
        <f>10551*(100%+20%)</f>
        <v>12661.199999999999</v>
      </c>
      <c r="L29" s="70"/>
      <c r="M29" s="70"/>
      <c r="N29" s="72"/>
      <c r="O29" s="70"/>
      <c r="P29" s="70"/>
      <c r="Q29" s="70"/>
      <c r="R29" s="70"/>
    </row>
    <row r="30" spans="1:18" ht="15" customHeight="1">
      <c r="A30" s="74" t="s">
        <v>870</v>
      </c>
      <c r="B30" s="131" t="s">
        <v>12</v>
      </c>
      <c r="C30" s="112" t="s">
        <v>0</v>
      </c>
      <c r="D30" s="224">
        <f>6499*(100%+20%)</f>
        <v>7798.799999999999</v>
      </c>
      <c r="E30" s="225">
        <f>7572*(100%+20%)</f>
        <v>9086.4</v>
      </c>
      <c r="F30" s="225">
        <f>9422*(100%+20%)</f>
        <v>11306.4</v>
      </c>
      <c r="G30" s="226">
        <f>9422*(100%+20%)</f>
        <v>11306.4</v>
      </c>
      <c r="H30" s="224">
        <f>9659*(100%+20%)</f>
        <v>11590.8</v>
      </c>
      <c r="I30" s="225">
        <f>10733*(100%+20%)</f>
        <v>12879.6</v>
      </c>
      <c r="J30" s="225">
        <f>12583*(100%+20%)</f>
        <v>15099.599999999999</v>
      </c>
      <c r="K30" s="227">
        <f>12583*(100%+20%)</f>
        <v>15099.599999999999</v>
      </c>
      <c r="L30" s="70"/>
      <c r="M30" s="70"/>
      <c r="N30" s="72"/>
      <c r="O30" s="70"/>
      <c r="P30" s="70"/>
      <c r="Q30" s="70"/>
      <c r="R30" s="70"/>
    </row>
    <row r="31" spans="1:18" ht="15" customHeight="1">
      <c r="A31" s="74" t="s">
        <v>871</v>
      </c>
      <c r="B31" s="131" t="s">
        <v>13</v>
      </c>
      <c r="C31" s="112" t="s">
        <v>0</v>
      </c>
      <c r="D31" s="224">
        <f>5612*(100%+20%)</f>
        <v>6734.4</v>
      </c>
      <c r="E31" s="225">
        <f>6588*(100%+20%)</f>
        <v>7905.599999999999</v>
      </c>
      <c r="F31" s="225">
        <f>8267*(100%+20%)</f>
        <v>9920.4</v>
      </c>
      <c r="G31" s="226">
        <f>8267*(100%+20%)</f>
        <v>9920.4</v>
      </c>
      <c r="H31" s="224">
        <f>8774*(100%+20%)</f>
        <v>10528.8</v>
      </c>
      <c r="I31" s="225">
        <f>9748*(100%+20%)</f>
        <v>11697.6</v>
      </c>
      <c r="J31" s="225">
        <f>11427*(100%+20%)</f>
        <v>13712.4</v>
      </c>
      <c r="K31" s="227">
        <f>11427*(100%+20%)</f>
        <v>13712.4</v>
      </c>
      <c r="L31" s="70"/>
      <c r="M31" s="70"/>
      <c r="N31" s="72"/>
      <c r="O31" s="70"/>
      <c r="P31" s="70"/>
      <c r="Q31" s="70"/>
      <c r="R31" s="70"/>
    </row>
    <row r="32" spans="1:18" ht="15" customHeight="1">
      <c r="A32" s="75" t="s">
        <v>872</v>
      </c>
      <c r="B32" s="131" t="s">
        <v>14</v>
      </c>
      <c r="C32" s="112" t="s">
        <v>0</v>
      </c>
      <c r="D32" s="220">
        <f>9518*(100%+20%)</f>
        <v>11421.6</v>
      </c>
      <c r="E32" s="221">
        <f>10926*(100%+20%)</f>
        <v>13111.199999999999</v>
      </c>
      <c r="F32" s="221">
        <f>13354*(100%+20%)</f>
        <v>16024.8</v>
      </c>
      <c r="G32" s="222">
        <f>13354*(100%+20%)</f>
        <v>16024.8</v>
      </c>
      <c r="H32" s="220">
        <f>12678*(100%+20%)</f>
        <v>15213.599999999999</v>
      </c>
      <c r="I32" s="221">
        <f>14086*(100%+20%)</f>
        <v>16903.2</v>
      </c>
      <c r="J32" s="221">
        <f>16514*(100%+20%)</f>
        <v>19816.8</v>
      </c>
      <c r="K32" s="223">
        <f>16514*(100%+20%)</f>
        <v>19816.8</v>
      </c>
      <c r="L32" s="70"/>
      <c r="M32" s="70"/>
      <c r="N32" s="72"/>
      <c r="O32" s="70"/>
      <c r="P32" s="70"/>
      <c r="Q32" s="70"/>
      <c r="R32" s="70"/>
    </row>
    <row r="33" spans="1:18" ht="15" customHeight="1">
      <c r="A33" s="75" t="s">
        <v>873</v>
      </c>
      <c r="B33" s="131" t="s">
        <v>15</v>
      </c>
      <c r="C33" s="113" t="s">
        <v>0</v>
      </c>
      <c r="D33" s="220">
        <f>8306*(100%+20%)</f>
        <v>9967.199999999999</v>
      </c>
      <c r="E33" s="221">
        <f>9580*(100%+20%)</f>
        <v>11496</v>
      </c>
      <c r="F33" s="221">
        <f>11775*(100%+20%)</f>
        <v>14130</v>
      </c>
      <c r="G33" s="222">
        <f>11775*(100%+20%)</f>
        <v>14130</v>
      </c>
      <c r="H33" s="220">
        <f>11466*(100%+20%)</f>
        <v>13759.199999999999</v>
      </c>
      <c r="I33" s="221">
        <f>12740*(100%+20%)</f>
        <v>15288</v>
      </c>
      <c r="J33" s="221">
        <f>14936*(100%+20%)</f>
        <v>17923.2</v>
      </c>
      <c r="K33" s="223">
        <f>14936*(100%+20%)</f>
        <v>17923.2</v>
      </c>
      <c r="L33" s="70"/>
      <c r="M33" s="70"/>
      <c r="N33" s="72"/>
      <c r="O33" s="70"/>
      <c r="P33" s="70"/>
      <c r="Q33" s="70"/>
      <c r="R33" s="70"/>
    </row>
    <row r="34" spans="1:18" ht="15" customHeight="1">
      <c r="A34" s="75" t="s">
        <v>874</v>
      </c>
      <c r="B34" s="131" t="s">
        <v>16</v>
      </c>
      <c r="C34" s="114" t="s">
        <v>0</v>
      </c>
      <c r="D34" s="220">
        <f>10691*(100%+20%)</f>
        <v>12829.199999999999</v>
      </c>
      <c r="E34" s="221">
        <f>12229*(100%+20%)</f>
        <v>14674.8</v>
      </c>
      <c r="F34" s="221">
        <f>14881*(100%+20%)</f>
        <v>17857.2</v>
      </c>
      <c r="G34" s="222">
        <f>14881*(100%+20%)</f>
        <v>17857.2</v>
      </c>
      <c r="H34" s="220">
        <f>13851*(100%+20%)</f>
        <v>16621.2</v>
      </c>
      <c r="I34" s="221">
        <f>15390*(100%+20%)</f>
        <v>18468</v>
      </c>
      <c r="J34" s="221">
        <f>18042*(100%+20%)</f>
        <v>21650.399999999998</v>
      </c>
      <c r="K34" s="223">
        <f>18042*(100%+20%)</f>
        <v>21650.399999999998</v>
      </c>
      <c r="L34" s="70"/>
      <c r="M34" s="70"/>
      <c r="N34" s="72"/>
      <c r="O34" s="70"/>
      <c r="P34" s="70"/>
      <c r="Q34" s="70"/>
      <c r="R34" s="70"/>
    </row>
    <row r="35" spans="1:18" ht="15" customHeight="1">
      <c r="A35" s="74" t="s">
        <v>875</v>
      </c>
      <c r="B35" s="131" t="s">
        <v>61</v>
      </c>
      <c r="C35" s="114" t="s">
        <v>0</v>
      </c>
      <c r="D35" s="220">
        <f>4958*(100%+20%)</f>
        <v>5949.599999999999</v>
      </c>
      <c r="E35" s="221">
        <f>5861*(100%+20%)</f>
        <v>7033.2</v>
      </c>
      <c r="F35" s="221">
        <f>7414*(100%+20%)</f>
        <v>8896.8</v>
      </c>
      <c r="G35" s="222">
        <f>7414*(100%+20%)</f>
        <v>8896.8</v>
      </c>
      <c r="H35" s="220">
        <f>8118*(100%+20%)</f>
        <v>9741.6</v>
      </c>
      <c r="I35" s="221">
        <f>9021*(100%+20%)</f>
        <v>10825.199999999999</v>
      </c>
      <c r="J35" s="221">
        <f>10574*(100%+20%)</f>
        <v>12688.8</v>
      </c>
      <c r="K35" s="223">
        <f>10574*(100%+20%)</f>
        <v>12688.8</v>
      </c>
      <c r="L35" s="70"/>
      <c r="M35" s="70"/>
      <c r="N35" s="72"/>
      <c r="O35" s="70"/>
      <c r="P35" s="70"/>
      <c r="Q35" s="70"/>
      <c r="R35" s="70"/>
    </row>
    <row r="36" spans="1:18" ht="15" customHeight="1" thickBot="1">
      <c r="A36" s="76" t="s">
        <v>876</v>
      </c>
      <c r="B36" s="132" t="s">
        <v>17</v>
      </c>
      <c r="C36" s="116" t="s">
        <v>9</v>
      </c>
      <c r="D36" s="228">
        <f>1258*(100%+20%)</f>
        <v>1509.6</v>
      </c>
      <c r="E36" s="229">
        <f>1258*(100%+20%)</f>
        <v>1509.6</v>
      </c>
      <c r="F36" s="229">
        <f>1736*(100%+20%)</f>
        <v>2083.2</v>
      </c>
      <c r="G36" s="230">
        <f>1736*(100%+20%)</f>
        <v>2083.2</v>
      </c>
      <c r="H36" s="228">
        <f>2775*(100%+20%)</f>
        <v>3330</v>
      </c>
      <c r="I36" s="229">
        <f>2775*(100%+20%)</f>
        <v>3330</v>
      </c>
      <c r="J36" s="229">
        <f>3252*(100%+20%)</f>
        <v>3902.3999999999996</v>
      </c>
      <c r="K36" s="231">
        <f>3252*(100%+20%)</f>
        <v>3902.3999999999996</v>
      </c>
      <c r="L36" s="70"/>
      <c r="M36" s="70"/>
      <c r="N36" s="72"/>
      <c r="O36" s="70"/>
      <c r="P36" s="70"/>
      <c r="Q36" s="70"/>
      <c r="R36" s="70"/>
    </row>
    <row r="37" spans="1:11" ht="21" customHeight="1" thickBot="1">
      <c r="A37" s="25"/>
      <c r="B37" s="319" t="s">
        <v>69</v>
      </c>
      <c r="C37" s="320"/>
      <c r="D37" s="323"/>
      <c r="E37" s="323"/>
      <c r="F37" s="323"/>
      <c r="G37" s="323"/>
      <c r="H37" s="323"/>
      <c r="I37" s="323"/>
      <c r="J37" s="323"/>
      <c r="K37" s="324"/>
    </row>
    <row r="38" spans="1:11" ht="15" customHeight="1" thickBot="1">
      <c r="A38" s="25"/>
      <c r="B38" s="314" t="s">
        <v>2</v>
      </c>
      <c r="C38" s="312" t="s">
        <v>1379</v>
      </c>
      <c r="D38" s="316" t="s">
        <v>845</v>
      </c>
      <c r="E38" s="317"/>
      <c r="F38" s="317"/>
      <c r="G38" s="318"/>
      <c r="H38" s="316" t="s">
        <v>846</v>
      </c>
      <c r="I38" s="317"/>
      <c r="J38" s="317"/>
      <c r="K38" s="318"/>
    </row>
    <row r="39" spans="1:11" ht="15" customHeight="1" thickBot="1">
      <c r="A39" s="25"/>
      <c r="B39" s="364"/>
      <c r="C39" s="313"/>
      <c r="D39" s="106" t="s">
        <v>847</v>
      </c>
      <c r="E39" s="105" t="s">
        <v>4</v>
      </c>
      <c r="F39" s="103" t="s">
        <v>5</v>
      </c>
      <c r="G39" s="105" t="s">
        <v>1420</v>
      </c>
      <c r="H39" s="103" t="s">
        <v>847</v>
      </c>
      <c r="I39" s="105" t="s">
        <v>4</v>
      </c>
      <c r="J39" s="103" t="s">
        <v>5</v>
      </c>
      <c r="K39" s="105" t="s">
        <v>1420</v>
      </c>
    </row>
    <row r="40" spans="1:14" ht="15" customHeight="1">
      <c r="A40" s="20" t="s">
        <v>877</v>
      </c>
      <c r="B40" s="130" t="s">
        <v>60</v>
      </c>
      <c r="C40" s="117" t="s">
        <v>0</v>
      </c>
      <c r="D40" s="216">
        <f>5081*(100%+20%)</f>
        <v>6097.2</v>
      </c>
      <c r="E40" s="232">
        <f>5996*(100%+20%)</f>
        <v>7195.2</v>
      </c>
      <c r="F40" s="217">
        <f>7574*(100%+20%)</f>
        <v>9088.8</v>
      </c>
      <c r="G40" s="233">
        <f>7574*(100%+20%)</f>
        <v>9088.8</v>
      </c>
      <c r="H40" s="216">
        <f>8241*(100%+20%)</f>
        <v>9889.199999999999</v>
      </c>
      <c r="I40" s="232">
        <f>9156*(100%+20%)</f>
        <v>10987.199999999999</v>
      </c>
      <c r="J40" s="217">
        <f>10734*(100%+20%)</f>
        <v>12880.8</v>
      </c>
      <c r="K40" s="234">
        <f>10734*(100%+20%)</f>
        <v>12880.8</v>
      </c>
      <c r="L40" s="69"/>
      <c r="M40" s="44"/>
      <c r="N40" s="69"/>
    </row>
    <row r="41" spans="1:14" ht="15" customHeight="1">
      <c r="A41" s="21" t="s">
        <v>878</v>
      </c>
      <c r="B41" s="131" t="s">
        <v>6</v>
      </c>
      <c r="C41" s="118" t="s">
        <v>0</v>
      </c>
      <c r="D41" s="220">
        <f>4347*(100%+20%)</f>
        <v>5216.4</v>
      </c>
      <c r="E41" s="221">
        <f>5181*(100%+20%)</f>
        <v>6217.2</v>
      </c>
      <c r="F41" s="221">
        <f>6619*(100%+20%)</f>
        <v>7942.799999999999</v>
      </c>
      <c r="G41" s="222">
        <f>6619*(100%+20%)</f>
        <v>7942.799999999999</v>
      </c>
      <c r="H41" s="220">
        <f>7507*(100%+20%)</f>
        <v>9008.4</v>
      </c>
      <c r="I41" s="221">
        <f>8341*(100%+20%)</f>
        <v>10009.199999999999</v>
      </c>
      <c r="J41" s="221">
        <f>9779*(100%+20%)</f>
        <v>11734.8</v>
      </c>
      <c r="K41" s="223">
        <f>9779*(100%+20%)</f>
        <v>11734.8</v>
      </c>
      <c r="L41" s="69"/>
      <c r="M41" s="44"/>
      <c r="N41" s="69"/>
    </row>
    <row r="42" spans="1:14" ht="15" customHeight="1">
      <c r="A42" s="21" t="s">
        <v>879</v>
      </c>
      <c r="B42" s="131" t="s">
        <v>7</v>
      </c>
      <c r="C42" s="118" t="s">
        <v>0</v>
      </c>
      <c r="D42" s="220">
        <f>6512*(100%+20%)</f>
        <v>7814.4</v>
      </c>
      <c r="E42" s="221">
        <f>7587*(100%+20%)</f>
        <v>9104.4</v>
      </c>
      <c r="F42" s="221">
        <f>9438*(100%+20%)</f>
        <v>11325.6</v>
      </c>
      <c r="G42" s="222">
        <f>9438*(100%+20%)</f>
        <v>11325.6</v>
      </c>
      <c r="H42" s="220">
        <f>9671*(100%+20%)</f>
        <v>11605.199999999999</v>
      </c>
      <c r="I42" s="221">
        <f>10747*(100%+20%)</f>
        <v>12896.4</v>
      </c>
      <c r="J42" s="221">
        <f>12598*(100%+20%)</f>
        <v>15117.599999999999</v>
      </c>
      <c r="K42" s="223">
        <f>12598*(100%+20%)</f>
        <v>15117.599999999999</v>
      </c>
      <c r="L42" s="69"/>
      <c r="M42" s="44"/>
      <c r="N42" s="69"/>
    </row>
    <row r="43" spans="1:14" ht="15" customHeight="1">
      <c r="A43" s="21"/>
      <c r="B43" s="131" t="s">
        <v>1436</v>
      </c>
      <c r="C43" s="118" t="s">
        <v>0</v>
      </c>
      <c r="D43" s="220">
        <f>4715*(100%+20%)</f>
        <v>5658</v>
      </c>
      <c r="E43" s="221">
        <f>5588*(100%+20%)</f>
        <v>6705.599999999999</v>
      </c>
      <c r="F43" s="221">
        <f>7096*(100%+20%)</f>
        <v>8515.199999999999</v>
      </c>
      <c r="G43" s="222">
        <f>7096*(100%+20%)</f>
        <v>8515.199999999999</v>
      </c>
      <c r="H43" s="220">
        <f>7874*(100%+20%)</f>
        <v>9448.8</v>
      </c>
      <c r="I43" s="221">
        <f>8749*(100%+20%)</f>
        <v>10498.8</v>
      </c>
      <c r="J43" s="221">
        <f>10256*(100%+20%)</f>
        <v>12307.199999999999</v>
      </c>
      <c r="K43" s="223">
        <f>10256*(100%+20%)</f>
        <v>12307.199999999999</v>
      </c>
      <c r="L43" s="69"/>
      <c r="M43" s="44"/>
      <c r="N43" s="69"/>
    </row>
    <row r="44" spans="1:14" ht="15" customHeight="1">
      <c r="A44" s="21" t="s">
        <v>880</v>
      </c>
      <c r="B44" s="131" t="s">
        <v>8</v>
      </c>
      <c r="C44" s="118" t="s">
        <v>9</v>
      </c>
      <c r="D44" s="220">
        <f>7111*(100%+20%)</f>
        <v>8533.199999999999</v>
      </c>
      <c r="E44" s="221">
        <f>7111*(100%+20%)</f>
        <v>8533.199999999999</v>
      </c>
      <c r="F44" s="221">
        <f>8596*(100%+20%)</f>
        <v>10315.199999999999</v>
      </c>
      <c r="G44" s="222">
        <f>8596*(100%+20%)</f>
        <v>10315.199999999999</v>
      </c>
      <c r="H44" s="220">
        <f>8627*(100%+20%)</f>
        <v>10352.4</v>
      </c>
      <c r="I44" s="221">
        <f>8627*(100%+20%)</f>
        <v>10352.4</v>
      </c>
      <c r="J44" s="221">
        <f>10113*(100%+20%)</f>
        <v>12135.6</v>
      </c>
      <c r="K44" s="223">
        <f>10113*(100%+20%)</f>
        <v>12135.6</v>
      </c>
      <c r="L44" s="69"/>
      <c r="M44" s="44"/>
      <c r="N44" s="69"/>
    </row>
    <row r="45" spans="1:14" ht="15" customHeight="1">
      <c r="A45" s="21" t="s">
        <v>881</v>
      </c>
      <c r="B45" s="131" t="s">
        <v>10</v>
      </c>
      <c r="C45" s="118" t="s">
        <v>9</v>
      </c>
      <c r="D45" s="220">
        <f>3464*(100%+20%)</f>
        <v>4156.8</v>
      </c>
      <c r="E45" s="221">
        <f>3464*(100%+20%)</f>
        <v>4156.8</v>
      </c>
      <c r="F45" s="221">
        <f>4322*(100%+20%)</f>
        <v>5186.4</v>
      </c>
      <c r="G45" s="222">
        <f>4322*(100%+20%)</f>
        <v>5186.4</v>
      </c>
      <c r="H45" s="220">
        <f>4980*(100%+20%)</f>
        <v>5976</v>
      </c>
      <c r="I45" s="221">
        <f>4980*(100%+20%)</f>
        <v>5976</v>
      </c>
      <c r="J45" s="221">
        <f>5839*(100%+20%)</f>
        <v>7006.8</v>
      </c>
      <c r="K45" s="223">
        <f>5839*(100%+20%)</f>
        <v>7006.8</v>
      </c>
      <c r="L45" s="69"/>
      <c r="M45" s="44"/>
      <c r="N45" s="69"/>
    </row>
    <row r="46" spans="1:14" ht="15" customHeight="1">
      <c r="A46" s="21" t="s">
        <v>882</v>
      </c>
      <c r="B46" s="131" t="s">
        <v>11</v>
      </c>
      <c r="C46" s="118" t="s">
        <v>9</v>
      </c>
      <c r="D46" s="220">
        <f>7798*(100%+20%)</f>
        <v>9357.6</v>
      </c>
      <c r="E46" s="221">
        <f>7798*(100%+20%)</f>
        <v>9357.6</v>
      </c>
      <c r="F46" s="221">
        <f>9403*(100%+20%)</f>
        <v>11283.6</v>
      </c>
      <c r="G46" s="222">
        <f>9403*(100%+20%)</f>
        <v>11283.6</v>
      </c>
      <c r="H46" s="220">
        <f>9315*(100%+20%)</f>
        <v>11178</v>
      </c>
      <c r="I46" s="221">
        <f>9315*(100%+20%)</f>
        <v>11178</v>
      </c>
      <c r="J46" s="221">
        <f>10921*(100%+20%)</f>
        <v>13105.199999999999</v>
      </c>
      <c r="K46" s="223">
        <f>10921*(100%+20%)</f>
        <v>13105.199999999999</v>
      </c>
      <c r="L46" s="69"/>
      <c r="M46" s="44"/>
      <c r="N46" s="69"/>
    </row>
    <row r="47" spans="1:14" ht="15" customHeight="1">
      <c r="A47" s="21" t="s">
        <v>883</v>
      </c>
      <c r="B47" s="131" t="s">
        <v>62</v>
      </c>
      <c r="C47" s="118" t="s">
        <v>0</v>
      </c>
      <c r="D47" s="224">
        <f>5886*(100%+20%)</f>
        <v>7063.2</v>
      </c>
      <c r="E47" s="225">
        <f>6890*(100%+20%)</f>
        <v>8268</v>
      </c>
      <c r="F47" s="225">
        <f>8624*(100%+20%)</f>
        <v>10348.8</v>
      </c>
      <c r="G47" s="226">
        <f>8624*(100%+20%)</f>
        <v>10348.8</v>
      </c>
      <c r="H47" s="224">
        <f>9047*(100%+20%)</f>
        <v>10856.4</v>
      </c>
      <c r="I47" s="225">
        <f>10050*(100%+20%)</f>
        <v>12060</v>
      </c>
      <c r="J47" s="225">
        <f>11783*(100%+20%)</f>
        <v>14139.6</v>
      </c>
      <c r="K47" s="227">
        <f>11783*(100%+20%)</f>
        <v>14139.6</v>
      </c>
      <c r="L47" s="69"/>
      <c r="M47" s="44"/>
      <c r="N47" s="69"/>
    </row>
    <row r="48" spans="1:14" ht="15" customHeight="1">
      <c r="A48" s="21" t="s">
        <v>884</v>
      </c>
      <c r="B48" s="131" t="s">
        <v>63</v>
      </c>
      <c r="C48" s="118" t="s">
        <v>0</v>
      </c>
      <c r="D48" s="224">
        <f>5063*(100%+20%)</f>
        <v>6075.599999999999</v>
      </c>
      <c r="E48" s="225">
        <f>5977*(100%+20%)</f>
        <v>7172.4</v>
      </c>
      <c r="F48" s="225">
        <f>7551*(100%+20%)</f>
        <v>9061.199999999999</v>
      </c>
      <c r="G48" s="226">
        <f>7551*(100%+20%)</f>
        <v>9061.199999999999</v>
      </c>
      <c r="H48" s="224">
        <f>8223*(100%+20%)</f>
        <v>9867.6</v>
      </c>
      <c r="I48" s="225">
        <f>9136*(100%+20%)</f>
        <v>10963.199999999999</v>
      </c>
      <c r="J48" s="225">
        <f>10711*(100%+20%)</f>
        <v>12853.199999999999</v>
      </c>
      <c r="K48" s="227">
        <f>10711*(100%+20%)</f>
        <v>12853.199999999999</v>
      </c>
      <c r="L48" s="69"/>
      <c r="M48" s="44"/>
      <c r="N48" s="69"/>
    </row>
    <row r="49" spans="1:14" ht="15" customHeight="1">
      <c r="A49" s="21" t="s">
        <v>885</v>
      </c>
      <c r="B49" s="131" t="s">
        <v>64</v>
      </c>
      <c r="C49" s="118" t="s">
        <v>0</v>
      </c>
      <c r="D49" s="224">
        <f>5886*(100%+20%)</f>
        <v>7063.2</v>
      </c>
      <c r="E49" s="225">
        <f>6890*(100%+20%)</f>
        <v>8268</v>
      </c>
      <c r="F49" s="225">
        <f>8624*(100%+20%)</f>
        <v>10348.8</v>
      </c>
      <c r="G49" s="226">
        <f>8624*(100%+20%)</f>
        <v>10348.8</v>
      </c>
      <c r="H49" s="224">
        <f>9047*(100%+20%)</f>
        <v>10856.4</v>
      </c>
      <c r="I49" s="225">
        <f>10050*(100%+20%)</f>
        <v>12060</v>
      </c>
      <c r="J49" s="225">
        <f>11783*(100%+20%)</f>
        <v>14139.6</v>
      </c>
      <c r="K49" s="227">
        <f>11783*(100%+20%)</f>
        <v>14139.6</v>
      </c>
      <c r="L49" s="69"/>
      <c r="M49" s="44"/>
      <c r="N49" s="69"/>
    </row>
    <row r="50" spans="1:14" ht="15" customHeight="1">
      <c r="A50" s="21" t="s">
        <v>886</v>
      </c>
      <c r="B50" s="131" t="s">
        <v>65</v>
      </c>
      <c r="C50" s="118" t="s">
        <v>0</v>
      </c>
      <c r="D50" s="224">
        <f>5063*(100%+20%)</f>
        <v>6075.599999999999</v>
      </c>
      <c r="E50" s="225">
        <f>5977*(100%+20%)</f>
        <v>7172.4</v>
      </c>
      <c r="F50" s="225">
        <f>7551*(100%+20%)</f>
        <v>9061.199999999999</v>
      </c>
      <c r="G50" s="226">
        <f>7551*(100%+20%)</f>
        <v>9061.199999999999</v>
      </c>
      <c r="H50" s="224">
        <f>8223*(100%+20%)</f>
        <v>9867.6</v>
      </c>
      <c r="I50" s="225">
        <f>9136*(100%+20%)</f>
        <v>10963.199999999999</v>
      </c>
      <c r="J50" s="225">
        <f>10711*(100%+20%)</f>
        <v>12853.199999999999</v>
      </c>
      <c r="K50" s="227">
        <f>10711*(100%+20%)</f>
        <v>12853.199999999999</v>
      </c>
      <c r="L50" s="69"/>
      <c r="M50" s="44"/>
      <c r="N50" s="69"/>
    </row>
    <row r="51" spans="1:14" ht="15" customHeight="1">
      <c r="A51" s="21" t="s">
        <v>887</v>
      </c>
      <c r="B51" s="131" t="s">
        <v>66</v>
      </c>
      <c r="C51" s="118" t="s">
        <v>0</v>
      </c>
      <c r="D51" s="224">
        <f>5886*(100%+20%)</f>
        <v>7063.2</v>
      </c>
      <c r="E51" s="225">
        <f>6890*(100%+20%)</f>
        <v>8268</v>
      </c>
      <c r="F51" s="225">
        <f>8624*(100%+20%)</f>
        <v>10348.8</v>
      </c>
      <c r="G51" s="226">
        <f>8624*(100%+20%)</f>
        <v>10348.8</v>
      </c>
      <c r="H51" s="224">
        <f>9047*(100%+20%)</f>
        <v>10856.4</v>
      </c>
      <c r="I51" s="225">
        <f>10050*(100%+20%)</f>
        <v>12060</v>
      </c>
      <c r="J51" s="225">
        <f>11783*(100%+20%)</f>
        <v>14139.6</v>
      </c>
      <c r="K51" s="227">
        <f>11783*(100%+20%)</f>
        <v>14139.6</v>
      </c>
      <c r="L51" s="69"/>
      <c r="M51" s="44"/>
      <c r="N51" s="69"/>
    </row>
    <row r="52" spans="1:14" ht="15" customHeight="1">
      <c r="A52" s="21" t="s">
        <v>888</v>
      </c>
      <c r="B52" s="131" t="s">
        <v>67</v>
      </c>
      <c r="C52" s="118" t="s">
        <v>0</v>
      </c>
      <c r="D52" s="224">
        <f>5063*(100%+20%)</f>
        <v>6075.599999999999</v>
      </c>
      <c r="E52" s="225">
        <f>5977*(100%+20%)</f>
        <v>7172.4</v>
      </c>
      <c r="F52" s="225">
        <f>7551*(100%+20%)</f>
        <v>9061.199999999999</v>
      </c>
      <c r="G52" s="226">
        <f>7551*(100%+20%)</f>
        <v>9061.199999999999</v>
      </c>
      <c r="H52" s="224">
        <f>8223*(100%+20%)</f>
        <v>9867.6</v>
      </c>
      <c r="I52" s="225">
        <f>9136*(100%+20%)</f>
        <v>10963.199999999999</v>
      </c>
      <c r="J52" s="225">
        <f>10711*(100%+20%)</f>
        <v>12853.199999999999</v>
      </c>
      <c r="K52" s="227">
        <f>10711*(100%+20%)</f>
        <v>12853.199999999999</v>
      </c>
      <c r="L52" s="69"/>
      <c r="M52" s="44"/>
      <c r="N52" s="69"/>
    </row>
    <row r="53" spans="1:14" ht="15" customHeight="1">
      <c r="A53" s="21" t="s">
        <v>889</v>
      </c>
      <c r="B53" s="131" t="s">
        <v>12</v>
      </c>
      <c r="C53" s="118" t="s">
        <v>0</v>
      </c>
      <c r="D53" s="224">
        <f>6651*(100%+20%)</f>
        <v>7981.2</v>
      </c>
      <c r="E53" s="225">
        <f>7740*(100%+20%)</f>
        <v>9288</v>
      </c>
      <c r="F53" s="225">
        <f>9619*(100%+20%)</f>
        <v>11542.8</v>
      </c>
      <c r="G53" s="226">
        <f>9619*(100%+20%)</f>
        <v>11542.8</v>
      </c>
      <c r="H53" s="224">
        <f>9810*(100%+20%)</f>
        <v>11772</v>
      </c>
      <c r="I53" s="225">
        <f>10900*(100%+20%)</f>
        <v>13080</v>
      </c>
      <c r="J53" s="225">
        <f>12778*(100%+20%)</f>
        <v>15333.599999999999</v>
      </c>
      <c r="K53" s="227">
        <f>12778*(100%+20%)</f>
        <v>15333.599999999999</v>
      </c>
      <c r="L53" s="69"/>
      <c r="M53" s="44"/>
      <c r="N53" s="69"/>
    </row>
    <row r="54" spans="1:14" ht="15" customHeight="1">
      <c r="A54" s="21" t="s">
        <v>890</v>
      </c>
      <c r="B54" s="131" t="s">
        <v>13</v>
      </c>
      <c r="C54" s="118" t="s">
        <v>0</v>
      </c>
      <c r="D54" s="224">
        <f>5748*(100%+20%)</f>
        <v>6897.599999999999</v>
      </c>
      <c r="E54" s="225">
        <f>6737*(100%+20%)</f>
        <v>8084.4</v>
      </c>
      <c r="F54" s="225">
        <f>8443*(100%+20%)</f>
        <v>10131.6</v>
      </c>
      <c r="G54" s="226">
        <f>8443*(100%+20%)</f>
        <v>10131.6</v>
      </c>
      <c r="H54" s="224">
        <f>8908*(100%+20%)</f>
        <v>10689.6</v>
      </c>
      <c r="I54" s="225">
        <f>9897*(100%+20%)</f>
        <v>11876.4</v>
      </c>
      <c r="J54" s="225">
        <f>11603*(100%+20%)</f>
        <v>13923.6</v>
      </c>
      <c r="K54" s="227">
        <f>11603*(100%+20%)</f>
        <v>13923.6</v>
      </c>
      <c r="L54" s="69"/>
      <c r="M54" s="44"/>
      <c r="N54" s="69"/>
    </row>
    <row r="55" spans="1:14" ht="15" customHeight="1">
      <c r="A55" s="22" t="s">
        <v>891</v>
      </c>
      <c r="B55" s="131" t="s">
        <v>14</v>
      </c>
      <c r="C55" s="118" t="s">
        <v>0</v>
      </c>
      <c r="D55" s="220">
        <f>9723*(100%+20%)</f>
        <v>11667.6</v>
      </c>
      <c r="E55" s="221">
        <f>11155*(100%+20%)</f>
        <v>13386</v>
      </c>
      <c r="F55" s="221">
        <f>13622*(100%+20%)</f>
        <v>16346.4</v>
      </c>
      <c r="G55" s="222">
        <f>13622*(100%+20%)</f>
        <v>16346.4</v>
      </c>
      <c r="H55" s="220">
        <f>12883*(100%+20%)</f>
        <v>15459.599999999999</v>
      </c>
      <c r="I55" s="221">
        <f>14315*(100%+20%)</f>
        <v>17178</v>
      </c>
      <c r="J55" s="221">
        <f>16782*(100%+20%)</f>
        <v>20138.399999999998</v>
      </c>
      <c r="K55" s="223">
        <f>16782*(100%+20%)</f>
        <v>20138.399999999998</v>
      </c>
      <c r="L55" s="69"/>
      <c r="M55" s="44"/>
      <c r="N55" s="69"/>
    </row>
    <row r="56" spans="1:14" ht="15" customHeight="1">
      <c r="A56" s="22" t="s">
        <v>892</v>
      </c>
      <c r="B56" s="131" t="s">
        <v>15</v>
      </c>
      <c r="C56" s="118" t="s">
        <v>0</v>
      </c>
      <c r="D56" s="220">
        <f>8492*(100%+20%)</f>
        <v>10190.4</v>
      </c>
      <c r="E56" s="221">
        <f>9787*(100%+20%)</f>
        <v>11744.4</v>
      </c>
      <c r="F56" s="221">
        <f>12017*(100%+20%)</f>
        <v>14420.4</v>
      </c>
      <c r="G56" s="222">
        <f>12017*(100%+20%)</f>
        <v>14420.4</v>
      </c>
      <c r="H56" s="220">
        <f>11652*(100%+20%)</f>
        <v>13982.4</v>
      </c>
      <c r="I56" s="221">
        <f>12947*(100%+20%)</f>
        <v>15536.4</v>
      </c>
      <c r="J56" s="221">
        <f>15178*(100%+20%)</f>
        <v>18213.6</v>
      </c>
      <c r="K56" s="223">
        <f>15178*(100%+20%)</f>
        <v>18213.6</v>
      </c>
      <c r="L56" s="69"/>
      <c r="M56" s="44"/>
      <c r="N56" s="69"/>
    </row>
    <row r="57" spans="1:14" ht="15" customHeight="1">
      <c r="A57" s="22" t="s">
        <v>893</v>
      </c>
      <c r="B57" s="131" t="s">
        <v>16</v>
      </c>
      <c r="C57" s="118" t="s">
        <v>0</v>
      </c>
      <c r="D57" s="220">
        <f>10921*(100%+20%)</f>
        <v>13105.199999999999</v>
      </c>
      <c r="E57" s="221">
        <f>12487*(100%+20%)</f>
        <v>14984.4</v>
      </c>
      <c r="F57" s="221">
        <f>15184*(100%+20%)</f>
        <v>18220.8</v>
      </c>
      <c r="G57" s="222">
        <f>15184*(100%+20%)</f>
        <v>18220.8</v>
      </c>
      <c r="H57" s="220">
        <f>14082*(100%+20%)</f>
        <v>16898.399999999998</v>
      </c>
      <c r="I57" s="221">
        <f>15647*(100%+20%)</f>
        <v>18776.399999999998</v>
      </c>
      <c r="J57" s="221">
        <f>18344*(100%+20%)</f>
        <v>22012.8</v>
      </c>
      <c r="K57" s="223">
        <f>18344*(100%+20%)</f>
        <v>22012.8</v>
      </c>
      <c r="L57" s="69"/>
      <c r="M57" s="44"/>
      <c r="N57" s="69"/>
    </row>
    <row r="58" spans="1:14" ht="15" customHeight="1">
      <c r="A58" s="21" t="s">
        <v>894</v>
      </c>
      <c r="B58" s="131" t="s">
        <v>61</v>
      </c>
      <c r="C58" s="118" t="s">
        <v>0</v>
      </c>
      <c r="D58" s="220">
        <f>5081*(100%+20%)</f>
        <v>6097.2</v>
      </c>
      <c r="E58" s="221">
        <f>5996*(100%+20%)</f>
        <v>7195.2</v>
      </c>
      <c r="F58" s="221">
        <f>7574*(100%+20%)</f>
        <v>9088.8</v>
      </c>
      <c r="G58" s="222">
        <f>7574*(100%+20%)</f>
        <v>9088.8</v>
      </c>
      <c r="H58" s="220">
        <f>8241*(100%+20%)</f>
        <v>9889.199999999999</v>
      </c>
      <c r="I58" s="221">
        <f>9156*(100%+20%)</f>
        <v>10987.199999999999</v>
      </c>
      <c r="J58" s="221">
        <f>10734*(100%+20%)</f>
        <v>12880.8</v>
      </c>
      <c r="K58" s="223">
        <f>10734*(100%+20%)</f>
        <v>12880.8</v>
      </c>
      <c r="L58" s="69"/>
      <c r="M58" s="44"/>
      <c r="N58" s="69"/>
    </row>
    <row r="59" spans="1:14" ht="15" customHeight="1" thickBot="1">
      <c r="A59" s="45" t="s">
        <v>895</v>
      </c>
      <c r="B59" s="132" t="s">
        <v>17</v>
      </c>
      <c r="C59" s="119" t="s">
        <v>9</v>
      </c>
      <c r="D59" s="228">
        <f>1298*(100%+20%)</f>
        <v>1557.6</v>
      </c>
      <c r="E59" s="229">
        <f>1298*(100%+20%)</f>
        <v>1557.6</v>
      </c>
      <c r="F59" s="229">
        <f>1782*(100%+20%)</f>
        <v>2138.4</v>
      </c>
      <c r="G59" s="230">
        <f>1782*(100%+20%)</f>
        <v>2138.4</v>
      </c>
      <c r="H59" s="228">
        <f>2814*(100%+20%)</f>
        <v>3376.7999999999997</v>
      </c>
      <c r="I59" s="229">
        <f>2814*(100%+20%)</f>
        <v>3376.7999999999997</v>
      </c>
      <c r="J59" s="229">
        <f>3299*(100%+20%)</f>
        <v>3958.7999999999997</v>
      </c>
      <c r="K59" s="231">
        <f>3299*(100%+20%)</f>
        <v>3958.7999999999997</v>
      </c>
      <c r="L59" s="69"/>
      <c r="M59" s="44"/>
      <c r="N59" s="69"/>
    </row>
    <row r="60" spans="1:11" ht="21" customHeight="1" thickBot="1">
      <c r="A60" s="25"/>
      <c r="B60" s="319" t="s">
        <v>70</v>
      </c>
      <c r="C60" s="320"/>
      <c r="D60" s="323"/>
      <c r="E60" s="323"/>
      <c r="F60" s="323"/>
      <c r="G60" s="323"/>
      <c r="H60" s="323"/>
      <c r="I60" s="323"/>
      <c r="J60" s="323"/>
      <c r="K60" s="324"/>
    </row>
    <row r="61" spans="1:11" ht="15" customHeight="1" thickBot="1">
      <c r="A61" s="25"/>
      <c r="B61" s="314" t="s">
        <v>2</v>
      </c>
      <c r="C61" s="312" t="s">
        <v>1379</v>
      </c>
      <c r="D61" s="316" t="s">
        <v>845</v>
      </c>
      <c r="E61" s="317"/>
      <c r="F61" s="317"/>
      <c r="G61" s="318"/>
      <c r="H61" s="316" t="s">
        <v>846</v>
      </c>
      <c r="I61" s="317"/>
      <c r="J61" s="317"/>
      <c r="K61" s="318"/>
    </row>
    <row r="62" spans="1:11" ht="15" customHeight="1" thickBot="1">
      <c r="A62" s="25"/>
      <c r="B62" s="364"/>
      <c r="C62" s="313"/>
      <c r="D62" s="106" t="s">
        <v>847</v>
      </c>
      <c r="E62" s="105" t="s">
        <v>4</v>
      </c>
      <c r="F62" s="103" t="s">
        <v>5</v>
      </c>
      <c r="G62" s="105" t="s">
        <v>1420</v>
      </c>
      <c r="H62" s="103" t="s">
        <v>847</v>
      </c>
      <c r="I62" s="105" t="s">
        <v>4</v>
      </c>
      <c r="J62" s="103" t="s">
        <v>5</v>
      </c>
      <c r="K62" s="105" t="s">
        <v>1420</v>
      </c>
    </row>
    <row r="63" spans="1:13" ht="15" customHeight="1">
      <c r="A63" s="20" t="s">
        <v>896</v>
      </c>
      <c r="B63" s="130" t="s">
        <v>60</v>
      </c>
      <c r="C63" s="117" t="s">
        <v>0</v>
      </c>
      <c r="D63" s="216">
        <f>4833*(100%+20%)</f>
        <v>5799.599999999999</v>
      </c>
      <c r="E63" s="232">
        <f>5721*(100%+20%)</f>
        <v>6865.2</v>
      </c>
      <c r="F63" s="217">
        <f>7251*(100%+20%)</f>
        <v>8701.199999999999</v>
      </c>
      <c r="G63" s="233">
        <f>7251*(100%+20%)</f>
        <v>8701.199999999999</v>
      </c>
      <c r="H63" s="216">
        <f>7993*(100%+20%)</f>
        <v>9591.6</v>
      </c>
      <c r="I63" s="232">
        <f>8881*(100%+20%)</f>
        <v>10657.199999999999</v>
      </c>
      <c r="J63" s="217">
        <f>10411*(100%+20%)</f>
        <v>12493.199999999999</v>
      </c>
      <c r="K63" s="234">
        <f>10411*(100%+20%)</f>
        <v>12493.199999999999</v>
      </c>
      <c r="L63" s="69"/>
      <c r="M63" s="44"/>
    </row>
    <row r="64" spans="1:13" ht="15" customHeight="1">
      <c r="A64" s="21" t="s">
        <v>897</v>
      </c>
      <c r="B64" s="131" t="s">
        <v>6</v>
      </c>
      <c r="C64" s="118" t="s">
        <v>0</v>
      </c>
      <c r="D64" s="220">
        <f>4124*(100%+20%)</f>
        <v>4948.8</v>
      </c>
      <c r="E64" s="221">
        <f>4934*(100%+20%)</f>
        <v>5920.8</v>
      </c>
      <c r="F64" s="221">
        <f>6328*(100%+20%)</f>
        <v>7593.599999999999</v>
      </c>
      <c r="G64" s="222">
        <f>6328*(100%+20%)</f>
        <v>7593.599999999999</v>
      </c>
      <c r="H64" s="220">
        <f>7284*(100%+20%)</f>
        <v>8740.8</v>
      </c>
      <c r="I64" s="221">
        <f>8095*(100%+20%)</f>
        <v>9714</v>
      </c>
      <c r="J64" s="221">
        <f>9489*(100%+20%)</f>
        <v>11386.8</v>
      </c>
      <c r="K64" s="223">
        <f>9489*(100%+20%)</f>
        <v>11386.8</v>
      </c>
      <c r="L64" s="69"/>
      <c r="M64" s="44"/>
    </row>
    <row r="65" spans="1:13" ht="15" customHeight="1">
      <c r="A65" s="21" t="s">
        <v>898</v>
      </c>
      <c r="B65" s="131" t="s">
        <v>7</v>
      </c>
      <c r="C65" s="118" t="s">
        <v>0</v>
      </c>
      <c r="D65" s="220">
        <f>6210*(100%+20%)</f>
        <v>7452</v>
      </c>
      <c r="E65" s="221">
        <f>7252*(100%+20%)</f>
        <v>8702.4</v>
      </c>
      <c r="F65" s="221">
        <f>9047*(100%+20%)</f>
        <v>10856.4</v>
      </c>
      <c r="G65" s="222">
        <f>9047*(100%+20%)</f>
        <v>10856.4</v>
      </c>
      <c r="H65" s="220">
        <f>9371*(100%+20%)</f>
        <v>11245.199999999999</v>
      </c>
      <c r="I65" s="221">
        <f>10412*(100%+20%)</f>
        <v>12494.4</v>
      </c>
      <c r="J65" s="221">
        <f>12207*(100%+20%)</f>
        <v>14648.4</v>
      </c>
      <c r="K65" s="223">
        <f>12207*(100%+20%)</f>
        <v>14648.4</v>
      </c>
      <c r="L65" s="69"/>
      <c r="M65" s="44"/>
    </row>
    <row r="66" spans="1:13" ht="15" customHeight="1">
      <c r="A66" s="21" t="s">
        <v>899</v>
      </c>
      <c r="B66" s="131" t="s">
        <v>763</v>
      </c>
      <c r="C66" s="118" t="s">
        <v>0</v>
      </c>
      <c r="D66" s="220">
        <f>6210*(100%+20%)</f>
        <v>7452</v>
      </c>
      <c r="E66" s="221">
        <f>7252*(100%+20%)</f>
        <v>8702.4</v>
      </c>
      <c r="F66" s="221">
        <f>9047*(100%+20%)</f>
        <v>10856.4</v>
      </c>
      <c r="G66" s="222">
        <f>9047*(100%+20%)</f>
        <v>10856.4</v>
      </c>
      <c r="H66" s="220">
        <f>9371*(100%+20%)</f>
        <v>11245.199999999999</v>
      </c>
      <c r="I66" s="221">
        <f>10412*(100%+20%)</f>
        <v>12494.4</v>
      </c>
      <c r="J66" s="221">
        <f>12207*(100%+20%)</f>
        <v>14648.4</v>
      </c>
      <c r="K66" s="223">
        <f>12207*(100%+20%)</f>
        <v>14648.4</v>
      </c>
      <c r="L66" s="69"/>
      <c r="M66" s="44"/>
    </row>
    <row r="67" spans="1:13" ht="15" customHeight="1">
      <c r="A67" s="21"/>
      <c r="B67" s="131" t="s">
        <v>1436</v>
      </c>
      <c r="C67" s="118" t="s">
        <v>0</v>
      </c>
      <c r="D67" s="220">
        <f>4478*(100%+20%)</f>
        <v>5373.599999999999</v>
      </c>
      <c r="E67" s="221">
        <f>5327*(100%+20%)</f>
        <v>6392.4</v>
      </c>
      <c r="F67" s="221">
        <f>6790*(100%+20%)</f>
        <v>8148</v>
      </c>
      <c r="G67" s="222">
        <f>6790*(100%+20%)</f>
        <v>8148</v>
      </c>
      <c r="H67" s="220">
        <f>7640*(100%+20%)</f>
        <v>9168</v>
      </c>
      <c r="I67" s="221">
        <f>8487*(100%+20%)</f>
        <v>10184.4</v>
      </c>
      <c r="J67" s="221">
        <f>9949*(100%+20%)</f>
        <v>11938.8</v>
      </c>
      <c r="K67" s="223">
        <f>9949*(100%+20%)</f>
        <v>11938.8</v>
      </c>
      <c r="L67" s="69"/>
      <c r="M67" s="44"/>
    </row>
    <row r="68" spans="1:13" ht="15" customHeight="1">
      <c r="A68" s="21" t="s">
        <v>900</v>
      </c>
      <c r="B68" s="131" t="s">
        <v>8</v>
      </c>
      <c r="C68" s="118" t="s">
        <v>9</v>
      </c>
      <c r="D68" s="220">
        <f>6813*(100%+20%)</f>
        <v>8175.599999999999</v>
      </c>
      <c r="E68" s="221">
        <f>6813*(100%+20%)</f>
        <v>8175.599999999999</v>
      </c>
      <c r="F68" s="221">
        <f>8247*(100%+20%)</f>
        <v>9896.4</v>
      </c>
      <c r="G68" s="222">
        <f>8247*(100%+20%)</f>
        <v>9896.4</v>
      </c>
      <c r="H68" s="220">
        <f>8330*(100%+20%)</f>
        <v>9996</v>
      </c>
      <c r="I68" s="221">
        <f>8330*(100%+20%)</f>
        <v>9996</v>
      </c>
      <c r="J68" s="221">
        <f>9764*(100%+20%)</f>
        <v>11716.8</v>
      </c>
      <c r="K68" s="223">
        <f>9764*(100%+20%)</f>
        <v>11716.8</v>
      </c>
      <c r="L68" s="69"/>
      <c r="M68" s="44"/>
    </row>
    <row r="69" spans="1:13" ht="15" customHeight="1">
      <c r="A69" s="21" t="s">
        <v>901</v>
      </c>
      <c r="B69" s="131" t="s">
        <v>10</v>
      </c>
      <c r="C69" s="118" t="s">
        <v>9</v>
      </c>
      <c r="D69" s="220">
        <f>3301*(100%+20%)</f>
        <v>3961.2</v>
      </c>
      <c r="E69" s="221">
        <f>3301*(100%+20%)</f>
        <v>3961.2</v>
      </c>
      <c r="F69" s="221">
        <f>4130*(100%+20%)</f>
        <v>4956</v>
      </c>
      <c r="G69" s="222">
        <f>4130*(100%+20%)</f>
        <v>4956</v>
      </c>
      <c r="H69" s="220">
        <f>4818*(100%+20%)</f>
        <v>5781.599999999999</v>
      </c>
      <c r="I69" s="221">
        <f>4818*(100%+20%)</f>
        <v>5781.599999999999</v>
      </c>
      <c r="J69" s="221">
        <f>5648*(100%+20%)</f>
        <v>6777.599999999999</v>
      </c>
      <c r="K69" s="223">
        <f>5648*(100%+20%)</f>
        <v>6777.599999999999</v>
      </c>
      <c r="L69" s="69"/>
      <c r="M69" s="44"/>
    </row>
    <row r="70" spans="1:13" ht="15" customHeight="1">
      <c r="A70" s="21" t="s">
        <v>902</v>
      </c>
      <c r="B70" s="131" t="s">
        <v>11</v>
      </c>
      <c r="C70" s="118" t="s">
        <v>9</v>
      </c>
      <c r="D70" s="220">
        <f>7478*(100%+20%)</f>
        <v>8973.6</v>
      </c>
      <c r="E70" s="221">
        <f>7478*(100%+20%)</f>
        <v>8973.6</v>
      </c>
      <c r="F70" s="221">
        <f>9028*(100%+20%)</f>
        <v>10833.6</v>
      </c>
      <c r="G70" s="222">
        <f>9028*(100%+20%)</f>
        <v>10833.6</v>
      </c>
      <c r="H70" s="220">
        <f>8996*(100%+20%)</f>
        <v>10795.199999999999</v>
      </c>
      <c r="I70" s="221">
        <f>8996*(100%+20%)</f>
        <v>10795.199999999999</v>
      </c>
      <c r="J70" s="221">
        <f>10546*(100%+20%)</f>
        <v>12655.199999999999</v>
      </c>
      <c r="K70" s="223">
        <f>10546*(100%+20%)</f>
        <v>12655.199999999999</v>
      </c>
      <c r="L70" s="69"/>
      <c r="M70" s="44"/>
    </row>
    <row r="71" spans="1:13" ht="15" customHeight="1">
      <c r="A71" s="21" t="s">
        <v>903</v>
      </c>
      <c r="B71" s="131" t="s">
        <v>62</v>
      </c>
      <c r="C71" s="118" t="s">
        <v>0</v>
      </c>
      <c r="D71" s="224">
        <f>5604*(100%+20%)</f>
        <v>6724.8</v>
      </c>
      <c r="E71" s="225">
        <f>6577*(100%+20%)</f>
        <v>7892.4</v>
      </c>
      <c r="F71" s="225">
        <f>8256*(100%+20%)</f>
        <v>9907.199999999999</v>
      </c>
      <c r="G71" s="226">
        <f>8256*(100%+20%)</f>
        <v>9907.199999999999</v>
      </c>
      <c r="H71" s="224">
        <f>8764*(100%+20%)</f>
        <v>10516.8</v>
      </c>
      <c r="I71" s="225">
        <f>9738*(100%+20%)</f>
        <v>11685.6</v>
      </c>
      <c r="J71" s="225">
        <f>11416*(100%+20%)</f>
        <v>13699.199999999999</v>
      </c>
      <c r="K71" s="227">
        <f>11416*(100%+20%)</f>
        <v>13699.199999999999</v>
      </c>
      <c r="L71" s="69"/>
      <c r="M71" s="44"/>
    </row>
    <row r="72" spans="1:13" ht="15" customHeight="1">
      <c r="A72" s="21" t="s">
        <v>904</v>
      </c>
      <c r="B72" s="131" t="s">
        <v>63</v>
      </c>
      <c r="C72" s="118" t="s">
        <v>0</v>
      </c>
      <c r="D72" s="224">
        <f>4815*(100%+20%)</f>
        <v>5778</v>
      </c>
      <c r="E72" s="225">
        <f>5701*(100%+20%)</f>
        <v>6841.2</v>
      </c>
      <c r="F72" s="225">
        <f>7230*(100%+20%)</f>
        <v>8676</v>
      </c>
      <c r="G72" s="226">
        <f>7230*(100%+20%)</f>
        <v>8676</v>
      </c>
      <c r="H72" s="224">
        <f>7977*(100%+20%)</f>
        <v>9572.4</v>
      </c>
      <c r="I72" s="225">
        <f>8861*(100%+20%)</f>
        <v>10633.199999999999</v>
      </c>
      <c r="J72" s="225">
        <f>10390*(100%+20%)</f>
        <v>12468</v>
      </c>
      <c r="K72" s="227">
        <f>10390*(100%+20%)</f>
        <v>12468</v>
      </c>
      <c r="L72" s="69"/>
      <c r="M72" s="44"/>
    </row>
    <row r="73" spans="1:13" ht="15" customHeight="1">
      <c r="A73" s="21" t="s">
        <v>905</v>
      </c>
      <c r="B73" s="131" t="s">
        <v>64</v>
      </c>
      <c r="C73" s="118" t="s">
        <v>0</v>
      </c>
      <c r="D73" s="224">
        <f>5604*(100%+20%)</f>
        <v>6724.8</v>
      </c>
      <c r="E73" s="225">
        <f>6577*(100%+20%)</f>
        <v>7892.4</v>
      </c>
      <c r="F73" s="225">
        <f>8256*(100%+20%)</f>
        <v>9907.199999999999</v>
      </c>
      <c r="G73" s="226">
        <f>8256*(100%+20%)</f>
        <v>9907.199999999999</v>
      </c>
      <c r="H73" s="224">
        <f>8764*(100%+20%)</f>
        <v>10516.8</v>
      </c>
      <c r="I73" s="225">
        <f>9738*(100%+20%)</f>
        <v>11685.6</v>
      </c>
      <c r="J73" s="225">
        <f>11416*(100%+20%)</f>
        <v>13699.199999999999</v>
      </c>
      <c r="K73" s="227">
        <f>11416*(100%+20%)</f>
        <v>13699.199999999999</v>
      </c>
      <c r="L73" s="69"/>
      <c r="M73" s="44"/>
    </row>
    <row r="74" spans="1:13" ht="15" customHeight="1">
      <c r="A74" s="21" t="s">
        <v>906</v>
      </c>
      <c r="B74" s="131" t="s">
        <v>65</v>
      </c>
      <c r="C74" s="118" t="s">
        <v>0</v>
      </c>
      <c r="D74" s="224">
        <f>4815*(100%+20%)</f>
        <v>5778</v>
      </c>
      <c r="E74" s="225">
        <f>5701*(100%+20%)</f>
        <v>6841.2</v>
      </c>
      <c r="F74" s="225">
        <f>7230*(100%+20%)</f>
        <v>8676</v>
      </c>
      <c r="G74" s="226">
        <f>7230*(100%+20%)</f>
        <v>8676</v>
      </c>
      <c r="H74" s="224">
        <f>7977*(100%+20%)</f>
        <v>9572.4</v>
      </c>
      <c r="I74" s="225">
        <f>8861*(100%+20%)</f>
        <v>10633.199999999999</v>
      </c>
      <c r="J74" s="225">
        <f>10390*(100%+20%)</f>
        <v>12468</v>
      </c>
      <c r="K74" s="227">
        <f>10390*(100%+20%)</f>
        <v>12468</v>
      </c>
      <c r="L74" s="69"/>
      <c r="M74" s="44"/>
    </row>
    <row r="75" spans="1:13" ht="15" customHeight="1">
      <c r="A75" s="21" t="s">
        <v>907</v>
      </c>
      <c r="B75" s="131" t="s">
        <v>66</v>
      </c>
      <c r="C75" s="118" t="s">
        <v>0</v>
      </c>
      <c r="D75" s="224">
        <f>5604*(100%+20%)</f>
        <v>6724.8</v>
      </c>
      <c r="E75" s="225">
        <f>6577*(100%+20%)</f>
        <v>7892.4</v>
      </c>
      <c r="F75" s="225">
        <f>8256*(100%+20%)</f>
        <v>9907.199999999999</v>
      </c>
      <c r="G75" s="226">
        <f>8256*(100%+20%)</f>
        <v>9907.199999999999</v>
      </c>
      <c r="H75" s="224">
        <f>8764*(100%+20%)</f>
        <v>10516.8</v>
      </c>
      <c r="I75" s="225">
        <f>9738*(100%+20%)</f>
        <v>11685.6</v>
      </c>
      <c r="J75" s="225">
        <f>11416*(100%+20%)</f>
        <v>13699.199999999999</v>
      </c>
      <c r="K75" s="227">
        <f>11416*(100%+20%)</f>
        <v>13699.199999999999</v>
      </c>
      <c r="L75" s="69"/>
      <c r="M75" s="44"/>
    </row>
    <row r="76" spans="1:13" ht="15" customHeight="1">
      <c r="A76" s="21" t="s">
        <v>908</v>
      </c>
      <c r="B76" s="131" t="s">
        <v>67</v>
      </c>
      <c r="C76" s="118" t="s">
        <v>0</v>
      </c>
      <c r="D76" s="224">
        <f>4815*(100%+20%)</f>
        <v>5778</v>
      </c>
      <c r="E76" s="225">
        <f>5701*(100%+20%)</f>
        <v>6841.2</v>
      </c>
      <c r="F76" s="225">
        <f>7230*(100%+20%)</f>
        <v>8676</v>
      </c>
      <c r="G76" s="226">
        <f>7230*(100%+20%)</f>
        <v>8676</v>
      </c>
      <c r="H76" s="224">
        <f>7977*(100%+20%)</f>
        <v>9572.4</v>
      </c>
      <c r="I76" s="225">
        <f>8861*(100%+20%)</f>
        <v>10633.199999999999</v>
      </c>
      <c r="J76" s="225">
        <f>10390*(100%+20%)</f>
        <v>12468</v>
      </c>
      <c r="K76" s="227">
        <f>10390*(100%+20%)</f>
        <v>12468</v>
      </c>
      <c r="L76" s="69"/>
      <c r="M76" s="44"/>
    </row>
    <row r="77" spans="1:13" ht="15" customHeight="1">
      <c r="A77" s="21" t="s">
        <v>909</v>
      </c>
      <c r="B77" s="131" t="s">
        <v>12</v>
      </c>
      <c r="C77" s="118" t="s">
        <v>0</v>
      </c>
      <c r="D77" s="224">
        <f>6344*(100%+20%)</f>
        <v>7612.799999999999</v>
      </c>
      <c r="E77" s="225">
        <f>7401*(100%+20%)</f>
        <v>8881.199999999999</v>
      </c>
      <c r="F77" s="225">
        <f>9221*(100%+20%)</f>
        <v>11065.199999999999</v>
      </c>
      <c r="G77" s="226">
        <f>9221*(100%+20%)</f>
        <v>11065.199999999999</v>
      </c>
      <c r="H77" s="224">
        <f>9504*(100%+20%)</f>
        <v>11404.8</v>
      </c>
      <c r="I77" s="225">
        <f>10561*(100%+20%)</f>
        <v>12673.199999999999</v>
      </c>
      <c r="J77" s="225">
        <f>12381*(100%+20%)</f>
        <v>14857.199999999999</v>
      </c>
      <c r="K77" s="227">
        <f>12381*(100%+20%)</f>
        <v>14857.199999999999</v>
      </c>
      <c r="L77" s="69"/>
      <c r="M77" s="44"/>
    </row>
    <row r="78" spans="1:13" ht="15" customHeight="1">
      <c r="A78" s="21" t="s">
        <v>910</v>
      </c>
      <c r="B78" s="131" t="s">
        <v>13</v>
      </c>
      <c r="C78" s="118" t="s">
        <v>0</v>
      </c>
      <c r="D78" s="224">
        <f>5471*(100%+20%)</f>
        <v>6565.2</v>
      </c>
      <c r="E78" s="225">
        <f>6430*(100%+20%)</f>
        <v>7716</v>
      </c>
      <c r="F78" s="225">
        <f>8082*(100%+20%)</f>
        <v>9698.4</v>
      </c>
      <c r="G78" s="226">
        <f>8082*(100%+20%)</f>
        <v>9698.4</v>
      </c>
      <c r="H78" s="224">
        <f>8631*(100%+20%)</f>
        <v>10357.199999999999</v>
      </c>
      <c r="I78" s="225">
        <f>9590*(100%+20%)</f>
        <v>11508</v>
      </c>
      <c r="J78" s="225">
        <f>11243*(100%+20%)</f>
        <v>13491.6</v>
      </c>
      <c r="K78" s="227">
        <f>11243*(100%+20%)</f>
        <v>13491.6</v>
      </c>
      <c r="L78" s="69"/>
      <c r="M78" s="44"/>
    </row>
    <row r="79" spans="1:13" ht="15" customHeight="1">
      <c r="A79" s="22" t="s">
        <v>911</v>
      </c>
      <c r="B79" s="131" t="s">
        <v>14</v>
      </c>
      <c r="C79" s="118" t="s">
        <v>0</v>
      </c>
      <c r="D79" s="220">
        <f>9305*(100%+20%)</f>
        <v>11166</v>
      </c>
      <c r="E79" s="221">
        <f>10690*(100%+20%)</f>
        <v>12828</v>
      </c>
      <c r="F79" s="221">
        <f>13076*(100%+20%)</f>
        <v>15691.199999999999</v>
      </c>
      <c r="G79" s="222">
        <f>13076*(100%+20%)</f>
        <v>15691.199999999999</v>
      </c>
      <c r="H79" s="220">
        <f>12465*(100%+20%)</f>
        <v>14958</v>
      </c>
      <c r="I79" s="221">
        <f>13850*(100%+20%)</f>
        <v>16620</v>
      </c>
      <c r="J79" s="221">
        <f>16237*(100%+20%)</f>
        <v>19484.399999999998</v>
      </c>
      <c r="K79" s="223">
        <f>16237*(100%+20%)</f>
        <v>19484.399999999998</v>
      </c>
      <c r="L79" s="69"/>
      <c r="M79" s="44"/>
    </row>
    <row r="80" spans="1:13" ht="15" customHeight="1">
      <c r="A80" s="22" t="s">
        <v>912</v>
      </c>
      <c r="B80" s="131" t="s">
        <v>15</v>
      </c>
      <c r="C80" s="118" t="s">
        <v>0</v>
      </c>
      <c r="D80" s="220">
        <f>8120*(100%+20%)</f>
        <v>9744</v>
      </c>
      <c r="E80" s="221">
        <f>9374*(100%+20%)</f>
        <v>11248.8</v>
      </c>
      <c r="F80" s="221">
        <f>11535*(100%+20%)</f>
        <v>13842</v>
      </c>
      <c r="G80" s="222">
        <f>11535*(100%+20%)</f>
        <v>13842</v>
      </c>
      <c r="H80" s="220">
        <f>11282*(100%+20%)</f>
        <v>13538.4</v>
      </c>
      <c r="I80" s="221">
        <f>12534*(100%+20%)</f>
        <v>15040.8</v>
      </c>
      <c r="J80" s="221">
        <f>14695*(100%+20%)</f>
        <v>17634</v>
      </c>
      <c r="K80" s="223">
        <f>14695*(100%+20%)</f>
        <v>17634</v>
      </c>
      <c r="L80" s="69"/>
      <c r="M80" s="44"/>
    </row>
    <row r="81" spans="1:13" ht="15" customHeight="1">
      <c r="A81" s="22" t="s">
        <v>913</v>
      </c>
      <c r="B81" s="131" t="s">
        <v>16</v>
      </c>
      <c r="C81" s="118" t="s">
        <v>0</v>
      </c>
      <c r="D81" s="220">
        <f>10462*(100%+20%)</f>
        <v>12554.4</v>
      </c>
      <c r="E81" s="221">
        <f>11977*(100%+20%)</f>
        <v>14372.4</v>
      </c>
      <c r="F81" s="221">
        <f>14585*(100%+20%)</f>
        <v>17502</v>
      </c>
      <c r="G81" s="222">
        <f>14585*(100%+20%)</f>
        <v>17502</v>
      </c>
      <c r="H81" s="220">
        <f>13622*(100%+20%)</f>
        <v>16346.4</v>
      </c>
      <c r="I81" s="221">
        <f>15136*(100%+20%)</f>
        <v>18163.2</v>
      </c>
      <c r="J81" s="221">
        <f>17745*(100%+20%)</f>
        <v>21294</v>
      </c>
      <c r="K81" s="223">
        <f>17745*(100%+20%)</f>
        <v>21294</v>
      </c>
      <c r="L81" s="69"/>
      <c r="M81" s="44"/>
    </row>
    <row r="82" spans="1:13" ht="15" customHeight="1">
      <c r="A82" s="21" t="s">
        <v>914</v>
      </c>
      <c r="B82" s="131" t="s">
        <v>61</v>
      </c>
      <c r="C82" s="118" t="s">
        <v>0</v>
      </c>
      <c r="D82" s="220">
        <f>4833*(100%+20%)</f>
        <v>5799.599999999999</v>
      </c>
      <c r="E82" s="221">
        <f>5721*(100%+20%)</f>
        <v>6865.2</v>
      </c>
      <c r="F82" s="221">
        <f>7251*(100%+20%)</f>
        <v>8701.199999999999</v>
      </c>
      <c r="G82" s="222">
        <f>7251*(100%+20%)</f>
        <v>8701.199999999999</v>
      </c>
      <c r="H82" s="220">
        <f>7993*(100%+20%)</f>
        <v>9591.6</v>
      </c>
      <c r="I82" s="221">
        <f>8881*(100%+20%)</f>
        <v>10657.199999999999</v>
      </c>
      <c r="J82" s="221">
        <f>10411*(100%+20%)</f>
        <v>12493.199999999999</v>
      </c>
      <c r="K82" s="223">
        <f>10411*(100%+20%)</f>
        <v>12493.199999999999</v>
      </c>
      <c r="L82" s="69"/>
      <c r="M82" s="44"/>
    </row>
    <row r="83" spans="1:13" ht="15" customHeight="1">
      <c r="A83" s="23" t="s">
        <v>915</v>
      </c>
      <c r="B83" s="131" t="s">
        <v>17</v>
      </c>
      <c r="C83" s="118" t="s">
        <v>9</v>
      </c>
      <c r="D83" s="220">
        <f>1216*(100%+20%)</f>
        <v>1459.2</v>
      </c>
      <c r="E83" s="221">
        <f>1216*(100%+20%)</f>
        <v>1459.2</v>
      </c>
      <c r="F83" s="221">
        <f>1689*(100%+20%)</f>
        <v>2026.8</v>
      </c>
      <c r="G83" s="222">
        <f>1689*(100%+20%)</f>
        <v>2026.8</v>
      </c>
      <c r="H83" s="220">
        <f>2734*(100%+20%)</f>
        <v>3280.7999999999997</v>
      </c>
      <c r="I83" s="221">
        <f>2734*(100%+20%)</f>
        <v>3280.7999999999997</v>
      </c>
      <c r="J83" s="221">
        <f>3205*(100%+20%)</f>
        <v>3846</v>
      </c>
      <c r="K83" s="223">
        <f>3205*(100%+20%)</f>
        <v>3846</v>
      </c>
      <c r="L83" s="69"/>
      <c r="M83" s="44"/>
    </row>
    <row r="84" spans="1:13" ht="15" customHeight="1" thickBot="1">
      <c r="A84" s="52" t="s">
        <v>916</v>
      </c>
      <c r="B84" s="133" t="s">
        <v>756</v>
      </c>
      <c r="C84" s="118" t="s">
        <v>9</v>
      </c>
      <c r="D84" s="235">
        <f>1198*(100%+20%)</f>
        <v>1437.6</v>
      </c>
      <c r="E84" s="236">
        <f>1395*(100%+20%)</f>
        <v>1674</v>
      </c>
      <c r="F84" s="236">
        <f>1733*(100%+20%)</f>
        <v>2079.6</v>
      </c>
      <c r="G84" s="237">
        <f>1733*(100%+20%)</f>
        <v>2079.6</v>
      </c>
      <c r="H84" s="235">
        <f>1768*(100%+20%)</f>
        <v>2121.6</v>
      </c>
      <c r="I84" s="236">
        <f>1964*(100%+20%)</f>
        <v>2356.7999999999997</v>
      </c>
      <c r="J84" s="236">
        <f>2301*(100%+20%)</f>
        <v>2761.2</v>
      </c>
      <c r="K84" s="238">
        <f>2301*(100%+20%)</f>
        <v>2761.2</v>
      </c>
      <c r="L84" s="69"/>
      <c r="M84" s="44"/>
    </row>
    <row r="85" spans="1:11" ht="21" customHeight="1" thickBot="1">
      <c r="A85" s="25"/>
      <c r="B85" s="356" t="s">
        <v>18</v>
      </c>
      <c r="C85" s="334"/>
      <c r="D85" s="334"/>
      <c r="E85" s="334"/>
      <c r="F85" s="334"/>
      <c r="G85" s="334"/>
      <c r="H85" s="334"/>
      <c r="I85" s="334"/>
      <c r="J85" s="334"/>
      <c r="K85" s="335"/>
    </row>
    <row r="86" spans="1:11" ht="21" customHeight="1" thickBot="1">
      <c r="A86" s="18"/>
      <c r="B86" s="325" t="s">
        <v>19</v>
      </c>
      <c r="C86" s="354"/>
      <c r="D86" s="321"/>
      <c r="E86" s="321"/>
      <c r="F86" s="321"/>
      <c r="G86" s="321"/>
      <c r="H86" s="321"/>
      <c r="I86" s="321"/>
      <c r="J86" s="321"/>
      <c r="K86" s="322"/>
    </row>
    <row r="87" spans="1:11" ht="15" customHeight="1" thickBot="1">
      <c r="A87" s="18"/>
      <c r="B87" s="314" t="s">
        <v>2</v>
      </c>
      <c r="C87" s="312" t="s">
        <v>1379</v>
      </c>
      <c r="D87" s="316" t="s">
        <v>845</v>
      </c>
      <c r="E87" s="317"/>
      <c r="F87" s="317"/>
      <c r="G87" s="318"/>
      <c r="H87" s="316" t="s">
        <v>846</v>
      </c>
      <c r="I87" s="317"/>
      <c r="J87" s="317"/>
      <c r="K87" s="318"/>
    </row>
    <row r="88" spans="1:11" ht="15" customHeight="1" thickBot="1">
      <c r="A88" s="18"/>
      <c r="B88" s="364"/>
      <c r="C88" s="313"/>
      <c r="D88" s="106" t="s">
        <v>847</v>
      </c>
      <c r="E88" s="105" t="s">
        <v>4</v>
      </c>
      <c r="F88" s="103" t="s">
        <v>5</v>
      </c>
      <c r="G88" s="105" t="s">
        <v>1420</v>
      </c>
      <c r="H88" s="103" t="s">
        <v>847</v>
      </c>
      <c r="I88" s="105" t="s">
        <v>4</v>
      </c>
      <c r="J88" s="103" t="s">
        <v>5</v>
      </c>
      <c r="K88" s="105" t="s">
        <v>1420</v>
      </c>
    </row>
    <row r="89" spans="1:13" ht="15" customHeight="1">
      <c r="A89" s="20" t="s">
        <v>917</v>
      </c>
      <c r="B89" s="130" t="s">
        <v>60</v>
      </c>
      <c r="C89" s="117" t="s">
        <v>0</v>
      </c>
      <c r="D89" s="216">
        <v>5117</v>
      </c>
      <c r="E89" s="232">
        <v>6037</v>
      </c>
      <c r="F89" s="217">
        <v>7622</v>
      </c>
      <c r="G89" s="233">
        <v>7622</v>
      </c>
      <c r="H89" s="216">
        <v>8277</v>
      </c>
      <c r="I89" s="232">
        <v>9197</v>
      </c>
      <c r="J89" s="217">
        <v>10782</v>
      </c>
      <c r="K89" s="234">
        <v>10782</v>
      </c>
      <c r="L89" s="69"/>
      <c r="M89" s="44"/>
    </row>
    <row r="90" spans="1:13" ht="15" customHeight="1">
      <c r="A90" s="21" t="s">
        <v>918</v>
      </c>
      <c r="B90" s="131" t="s">
        <v>6</v>
      </c>
      <c r="C90" s="118" t="s">
        <v>0</v>
      </c>
      <c r="D90" s="220">
        <v>4381</v>
      </c>
      <c r="E90" s="221">
        <v>5219</v>
      </c>
      <c r="F90" s="221">
        <v>6663</v>
      </c>
      <c r="G90" s="222">
        <v>6663</v>
      </c>
      <c r="H90" s="220">
        <v>7541</v>
      </c>
      <c r="I90" s="221">
        <v>8380</v>
      </c>
      <c r="J90" s="221">
        <v>9824</v>
      </c>
      <c r="K90" s="223">
        <v>9824</v>
      </c>
      <c r="L90" s="69"/>
      <c r="M90" s="44"/>
    </row>
    <row r="91" spans="1:13" ht="15" customHeight="1">
      <c r="A91" s="21" t="s">
        <v>919</v>
      </c>
      <c r="B91" s="131" t="s">
        <v>7</v>
      </c>
      <c r="C91" s="118" t="s">
        <v>0</v>
      </c>
      <c r="D91" s="220">
        <v>6483</v>
      </c>
      <c r="E91" s="221">
        <v>7555</v>
      </c>
      <c r="F91" s="221">
        <v>9401</v>
      </c>
      <c r="G91" s="222">
        <v>9401</v>
      </c>
      <c r="H91" s="220">
        <v>9643</v>
      </c>
      <c r="I91" s="221">
        <v>10716</v>
      </c>
      <c r="J91" s="221">
        <v>12561</v>
      </c>
      <c r="K91" s="223">
        <v>12561</v>
      </c>
      <c r="L91" s="69"/>
      <c r="M91" s="44"/>
    </row>
    <row r="92" spans="1:13" ht="15" customHeight="1">
      <c r="A92" s="21" t="s">
        <v>920</v>
      </c>
      <c r="B92" s="131" t="s">
        <v>763</v>
      </c>
      <c r="C92" s="118" t="s">
        <v>0</v>
      </c>
      <c r="D92" s="220">
        <v>6483</v>
      </c>
      <c r="E92" s="221">
        <v>7555</v>
      </c>
      <c r="F92" s="221">
        <v>9401</v>
      </c>
      <c r="G92" s="222">
        <v>9401</v>
      </c>
      <c r="H92" s="220">
        <v>9643</v>
      </c>
      <c r="I92" s="221">
        <v>10716</v>
      </c>
      <c r="J92" s="221">
        <v>12561</v>
      </c>
      <c r="K92" s="223">
        <v>12561</v>
      </c>
      <c r="L92" s="69"/>
      <c r="M92" s="44"/>
    </row>
    <row r="93" spans="1:13" ht="15" customHeight="1">
      <c r="A93" s="21" t="s">
        <v>921</v>
      </c>
      <c r="B93" s="131" t="s">
        <v>8</v>
      </c>
      <c r="C93" s="118" t="s">
        <v>9</v>
      </c>
      <c r="D93" s="220">
        <v>7782</v>
      </c>
      <c r="E93" s="221">
        <v>7782</v>
      </c>
      <c r="F93" s="221">
        <v>9384</v>
      </c>
      <c r="G93" s="222">
        <v>9384</v>
      </c>
      <c r="H93" s="220">
        <v>9299</v>
      </c>
      <c r="I93" s="221">
        <v>9299</v>
      </c>
      <c r="J93" s="221">
        <v>10901</v>
      </c>
      <c r="K93" s="223">
        <v>10901</v>
      </c>
      <c r="L93" s="69"/>
      <c r="M93" s="44"/>
    </row>
    <row r="94" spans="1:13" ht="15" customHeight="1">
      <c r="A94" s="21" t="s">
        <v>922</v>
      </c>
      <c r="B94" s="131" t="s">
        <v>10</v>
      </c>
      <c r="C94" s="118" t="s">
        <v>9</v>
      </c>
      <c r="D94" s="220">
        <v>3913</v>
      </c>
      <c r="E94" s="221">
        <v>3913</v>
      </c>
      <c r="F94" s="221">
        <v>4847</v>
      </c>
      <c r="G94" s="222">
        <v>4847</v>
      </c>
      <c r="H94" s="220">
        <v>5429</v>
      </c>
      <c r="I94" s="221">
        <v>5429</v>
      </c>
      <c r="J94" s="221">
        <v>6364</v>
      </c>
      <c r="K94" s="223">
        <v>6364</v>
      </c>
      <c r="L94" s="69"/>
      <c r="M94" s="44"/>
    </row>
    <row r="95" spans="1:13" ht="15" customHeight="1">
      <c r="A95" s="21" t="s">
        <v>923</v>
      </c>
      <c r="B95" s="131" t="s">
        <v>11</v>
      </c>
      <c r="C95" s="118" t="s">
        <v>9</v>
      </c>
      <c r="D95" s="220">
        <v>8539</v>
      </c>
      <c r="E95" s="221">
        <v>8539</v>
      </c>
      <c r="F95" s="221">
        <v>10272</v>
      </c>
      <c r="G95" s="222">
        <v>10272</v>
      </c>
      <c r="H95" s="220">
        <v>10055</v>
      </c>
      <c r="I95" s="221">
        <v>10055</v>
      </c>
      <c r="J95" s="221">
        <v>11788</v>
      </c>
      <c r="K95" s="223">
        <v>11788</v>
      </c>
      <c r="L95" s="69"/>
      <c r="M95" s="44"/>
    </row>
    <row r="96" spans="1:13" ht="15" customHeight="1">
      <c r="A96" s="21" t="s">
        <v>924</v>
      </c>
      <c r="B96" s="131" t="s">
        <v>61</v>
      </c>
      <c r="C96" s="118" t="s">
        <v>0</v>
      </c>
      <c r="D96" s="220">
        <v>5117</v>
      </c>
      <c r="E96" s="221">
        <v>6037</v>
      </c>
      <c r="F96" s="221">
        <v>7622</v>
      </c>
      <c r="G96" s="222">
        <v>7622</v>
      </c>
      <c r="H96" s="220">
        <v>8277</v>
      </c>
      <c r="I96" s="221">
        <v>9197</v>
      </c>
      <c r="J96" s="221">
        <v>10782</v>
      </c>
      <c r="K96" s="223">
        <v>10782</v>
      </c>
      <c r="L96" s="69"/>
      <c r="M96" s="44"/>
    </row>
    <row r="97" spans="1:13" ht="15" customHeight="1" thickBot="1">
      <c r="A97" s="32" t="s">
        <v>925</v>
      </c>
      <c r="B97" s="132" t="s">
        <v>17</v>
      </c>
      <c r="C97" s="119" t="s">
        <v>9</v>
      </c>
      <c r="D97" s="228">
        <v>1277</v>
      </c>
      <c r="E97" s="229">
        <v>1277</v>
      </c>
      <c r="F97" s="229">
        <v>1759</v>
      </c>
      <c r="G97" s="230">
        <v>1759</v>
      </c>
      <c r="H97" s="228">
        <v>2793</v>
      </c>
      <c r="I97" s="229">
        <v>2793</v>
      </c>
      <c r="J97" s="229">
        <v>3275</v>
      </c>
      <c r="K97" s="231">
        <v>3275</v>
      </c>
      <c r="L97" s="69"/>
      <c r="M97" s="44"/>
    </row>
    <row r="98" spans="1:11" ht="21" customHeight="1" thickBot="1">
      <c r="A98" s="18"/>
      <c r="B98" s="319" t="s">
        <v>2188</v>
      </c>
      <c r="C98" s="320"/>
      <c r="D98" s="323"/>
      <c r="E98" s="323"/>
      <c r="F98" s="323"/>
      <c r="G98" s="323"/>
      <c r="H98" s="323"/>
      <c r="I98" s="323"/>
      <c r="J98" s="323"/>
      <c r="K98" s="324"/>
    </row>
    <row r="99" spans="1:11" ht="15" customHeight="1" thickBot="1">
      <c r="A99" s="18"/>
      <c r="B99" s="314" t="s">
        <v>2</v>
      </c>
      <c r="C99" s="312" t="s">
        <v>1379</v>
      </c>
      <c r="D99" s="316" t="s">
        <v>845</v>
      </c>
      <c r="E99" s="317"/>
      <c r="F99" s="317"/>
      <c r="G99" s="318"/>
      <c r="H99" s="316" t="s">
        <v>846</v>
      </c>
      <c r="I99" s="317"/>
      <c r="J99" s="317"/>
      <c r="K99" s="318"/>
    </row>
    <row r="100" spans="1:11" ht="15" customHeight="1" thickBot="1">
      <c r="A100" s="18"/>
      <c r="B100" s="364"/>
      <c r="C100" s="363"/>
      <c r="D100" s="105" t="s">
        <v>847</v>
      </c>
      <c r="E100" s="103" t="s">
        <v>4</v>
      </c>
      <c r="F100" s="105" t="s">
        <v>5</v>
      </c>
      <c r="G100" s="103" t="s">
        <v>1420</v>
      </c>
      <c r="H100" s="105" t="s">
        <v>847</v>
      </c>
      <c r="I100" s="103" t="s">
        <v>4</v>
      </c>
      <c r="J100" s="105" t="s">
        <v>5</v>
      </c>
      <c r="K100" s="104" t="s">
        <v>1420</v>
      </c>
    </row>
    <row r="101" spans="1:13" ht="15" customHeight="1">
      <c r="A101" s="20" t="s">
        <v>926</v>
      </c>
      <c r="B101" s="130" t="s">
        <v>60</v>
      </c>
      <c r="C101" s="117" t="s">
        <v>0</v>
      </c>
      <c r="D101" s="239">
        <f>5568*(100%+20%)</f>
        <v>6681.599999999999</v>
      </c>
      <c r="E101" s="217">
        <f>6539*(100%+20%)</f>
        <v>7846.799999999999</v>
      </c>
      <c r="F101" s="232">
        <f>8210*(100%+20%)</f>
        <v>9852</v>
      </c>
      <c r="G101" s="218">
        <f>8210*(100%+20%)</f>
        <v>9852</v>
      </c>
      <c r="H101" s="239">
        <f>8729*(100%+20%)</f>
        <v>10474.8</v>
      </c>
      <c r="I101" s="217">
        <f>9700*(100%+20%)</f>
        <v>11640</v>
      </c>
      <c r="J101" s="232">
        <f>11370*(100%+20%)</f>
        <v>13644</v>
      </c>
      <c r="K101" s="219">
        <f>11370*(100%+20%)</f>
        <v>13644</v>
      </c>
      <c r="L101" s="69"/>
      <c r="M101" s="44"/>
    </row>
    <row r="102" spans="1:13" ht="15" customHeight="1">
      <c r="A102" s="21" t="s">
        <v>927</v>
      </c>
      <c r="B102" s="131" t="s">
        <v>6</v>
      </c>
      <c r="C102" s="118" t="s">
        <v>0</v>
      </c>
      <c r="D102" s="220">
        <f>4781*(100%+20%)</f>
        <v>5737.2</v>
      </c>
      <c r="E102" s="221">
        <f>5663*(100%+20%)</f>
        <v>6795.599999999999</v>
      </c>
      <c r="F102" s="221">
        <f>7183*(100%+20%)</f>
        <v>8619.6</v>
      </c>
      <c r="G102" s="222">
        <f>7183*(100%+20%)</f>
        <v>8619.6</v>
      </c>
      <c r="H102" s="220">
        <f>7941*(100%+20%)</f>
        <v>9529.199999999999</v>
      </c>
      <c r="I102" s="221">
        <f>8823*(100%+20%)</f>
        <v>10587.6</v>
      </c>
      <c r="J102" s="221">
        <f>10343*(100%+20%)</f>
        <v>12411.6</v>
      </c>
      <c r="K102" s="223">
        <f>10343*(100%+20%)</f>
        <v>12411.6</v>
      </c>
      <c r="L102" s="69"/>
      <c r="M102" s="44"/>
    </row>
    <row r="103" spans="1:13" ht="15" customHeight="1">
      <c r="A103" s="21" t="s">
        <v>928</v>
      </c>
      <c r="B103" s="131" t="s">
        <v>7</v>
      </c>
      <c r="C103" s="118" t="s">
        <v>0</v>
      </c>
      <c r="D103" s="220">
        <f>6929*(100%+20%)</f>
        <v>8314.8</v>
      </c>
      <c r="E103" s="221">
        <f>8049*(100%+20%)</f>
        <v>9658.8</v>
      </c>
      <c r="F103" s="221">
        <f>9981*(100%+20%)</f>
        <v>11977.199999999999</v>
      </c>
      <c r="G103" s="222">
        <f>9981*(100%+20%)</f>
        <v>11977.199999999999</v>
      </c>
      <c r="H103" s="220">
        <f>10088*(100%+20%)</f>
        <v>12105.6</v>
      </c>
      <c r="I103" s="221">
        <f>11209*(100%+20%)</f>
        <v>13450.8</v>
      </c>
      <c r="J103" s="221">
        <f>13141*(100%+20%)</f>
        <v>15769.199999999999</v>
      </c>
      <c r="K103" s="223">
        <f>13141*(100%+20%)</f>
        <v>15769.199999999999</v>
      </c>
      <c r="L103" s="69"/>
      <c r="M103" s="44"/>
    </row>
    <row r="104" spans="1:13" ht="15" customHeight="1">
      <c r="A104" s="21" t="s">
        <v>929</v>
      </c>
      <c r="B104" s="131" t="s">
        <v>763</v>
      </c>
      <c r="C104" s="118" t="s">
        <v>0</v>
      </c>
      <c r="D104" s="220">
        <f>6929*(100%+20%)</f>
        <v>8314.8</v>
      </c>
      <c r="E104" s="221">
        <f>8049*(100%+20%)</f>
        <v>9658.8</v>
      </c>
      <c r="F104" s="221">
        <f>9981*(100%+20%)</f>
        <v>11977.199999999999</v>
      </c>
      <c r="G104" s="222">
        <f>9981*(100%+20%)</f>
        <v>11977.199999999999</v>
      </c>
      <c r="H104" s="220">
        <f>10088*(100%+20%)</f>
        <v>12105.6</v>
      </c>
      <c r="I104" s="221">
        <f>11209*(100%+20%)</f>
        <v>13450.8</v>
      </c>
      <c r="J104" s="221">
        <f>13141*(100%+20%)</f>
        <v>15769.199999999999</v>
      </c>
      <c r="K104" s="223">
        <f>13141*(100%+20%)</f>
        <v>15769.199999999999</v>
      </c>
      <c r="L104" s="69"/>
      <c r="M104" s="44"/>
    </row>
    <row r="105" spans="1:13" ht="15" customHeight="1">
      <c r="A105" s="21" t="s">
        <v>930</v>
      </c>
      <c r="B105" s="131" t="s">
        <v>8</v>
      </c>
      <c r="C105" s="118" t="s">
        <v>9</v>
      </c>
      <c r="D105" s="220">
        <f>8285*(100%+20%)</f>
        <v>9942</v>
      </c>
      <c r="E105" s="221">
        <f>8285*(100%+20%)</f>
        <v>9942</v>
      </c>
      <c r="F105" s="221">
        <f>9975*(100%+20%)</f>
        <v>11970</v>
      </c>
      <c r="G105" s="222">
        <f>9975*(100%+20%)</f>
        <v>11970</v>
      </c>
      <c r="H105" s="220">
        <f>9802*(100%+20%)</f>
        <v>11762.4</v>
      </c>
      <c r="I105" s="221">
        <f>9802*(100%+20%)</f>
        <v>11762.4</v>
      </c>
      <c r="J105" s="221">
        <f>11492*(100%+20%)</f>
        <v>13790.4</v>
      </c>
      <c r="K105" s="223">
        <f>11492*(100%+20%)</f>
        <v>13790.4</v>
      </c>
      <c r="L105" s="69"/>
      <c r="M105" s="44"/>
    </row>
    <row r="106" spans="1:13" ht="15" customHeight="1">
      <c r="A106" s="21" t="s">
        <v>931</v>
      </c>
      <c r="B106" s="131" t="s">
        <v>10</v>
      </c>
      <c r="C106" s="118" t="s">
        <v>9</v>
      </c>
      <c r="D106" s="220">
        <f>4176*(100%+20%)</f>
        <v>5011.2</v>
      </c>
      <c r="E106" s="221">
        <f>4176*(100%+20%)</f>
        <v>5011.2</v>
      </c>
      <c r="F106" s="221">
        <f>5157*(100%+20%)</f>
        <v>6188.4</v>
      </c>
      <c r="G106" s="222">
        <f>5157*(100%+20%)</f>
        <v>6188.4</v>
      </c>
      <c r="H106" s="220">
        <f>5692*(100%+20%)</f>
        <v>6830.4</v>
      </c>
      <c r="I106" s="221">
        <f>5692*(100%+20%)</f>
        <v>6830.4</v>
      </c>
      <c r="J106" s="221">
        <f>6674*(100%+20%)</f>
        <v>8008.799999999999</v>
      </c>
      <c r="K106" s="223">
        <f>6674*(100%+20%)</f>
        <v>8008.799999999999</v>
      </c>
      <c r="L106" s="69"/>
      <c r="M106" s="44"/>
    </row>
    <row r="107" spans="1:13" ht="15" customHeight="1">
      <c r="A107" s="21" t="s">
        <v>932</v>
      </c>
      <c r="B107" s="131" t="s">
        <v>11</v>
      </c>
      <c r="C107" s="118" t="s">
        <v>9</v>
      </c>
      <c r="D107" s="220">
        <f>9042*(100%+20%)</f>
        <v>10850.4</v>
      </c>
      <c r="E107" s="221">
        <f>9042*(100%+20%)</f>
        <v>10850.4</v>
      </c>
      <c r="F107" s="221">
        <f>10861*(100%+20%)</f>
        <v>13033.199999999999</v>
      </c>
      <c r="G107" s="222">
        <f>10861*(100%+20%)</f>
        <v>13033.199999999999</v>
      </c>
      <c r="H107" s="220">
        <f>10560*(100%+20%)</f>
        <v>12672</v>
      </c>
      <c r="I107" s="221">
        <f>10560*(100%+20%)</f>
        <v>12672</v>
      </c>
      <c r="J107" s="221">
        <f>12377*(100%+20%)</f>
        <v>14852.4</v>
      </c>
      <c r="K107" s="223">
        <f>12377*(100%+20%)</f>
        <v>14852.4</v>
      </c>
      <c r="L107" s="69"/>
      <c r="M107" s="44"/>
    </row>
    <row r="108" spans="1:13" ht="15" customHeight="1">
      <c r="A108" s="21" t="s">
        <v>933</v>
      </c>
      <c r="B108" s="131" t="s">
        <v>61</v>
      </c>
      <c r="C108" s="118" t="s">
        <v>0</v>
      </c>
      <c r="D108" s="220">
        <f>5568*(100%+20%)</f>
        <v>6681.599999999999</v>
      </c>
      <c r="E108" s="221">
        <f>6539*(100%+20%)</f>
        <v>7846.799999999999</v>
      </c>
      <c r="F108" s="221">
        <f>8210*(100%+20%)</f>
        <v>9852</v>
      </c>
      <c r="G108" s="222">
        <f>8210*(100%+20%)</f>
        <v>9852</v>
      </c>
      <c r="H108" s="220">
        <f>8729*(100%+20%)</f>
        <v>10474.8</v>
      </c>
      <c r="I108" s="221">
        <f>9700*(100%+20%)</f>
        <v>11640</v>
      </c>
      <c r="J108" s="221">
        <f>11370*(100%+20%)</f>
        <v>13644</v>
      </c>
      <c r="K108" s="223">
        <f>11370*(100%+20%)</f>
        <v>13644</v>
      </c>
      <c r="L108" s="69"/>
      <c r="M108" s="44"/>
    </row>
    <row r="109" spans="1:13" ht="15" customHeight="1" thickBot="1">
      <c r="A109" s="32" t="s">
        <v>934</v>
      </c>
      <c r="B109" s="132" t="s">
        <v>17</v>
      </c>
      <c r="C109" s="119" t="s">
        <v>9</v>
      </c>
      <c r="D109" s="228">
        <f>1371*(100%+20%)</f>
        <v>1645.2</v>
      </c>
      <c r="E109" s="229">
        <f>1371*(100%+20%)</f>
        <v>1645.2</v>
      </c>
      <c r="F109" s="229">
        <f>1868*(100%+20%)</f>
        <v>2241.6</v>
      </c>
      <c r="G109" s="230">
        <f>1868*(100%+20%)</f>
        <v>2241.6</v>
      </c>
      <c r="H109" s="228">
        <f>2888*(100%+20%)</f>
        <v>3465.6</v>
      </c>
      <c r="I109" s="229">
        <f>2888*(100%+20%)</f>
        <v>3465.6</v>
      </c>
      <c r="J109" s="229">
        <f>3385*(100%+20%)</f>
        <v>4062</v>
      </c>
      <c r="K109" s="231">
        <f>3385*(100%+20%)</f>
        <v>4062</v>
      </c>
      <c r="L109" s="69"/>
      <c r="M109" s="44"/>
    </row>
    <row r="110" spans="1:11" ht="21" customHeight="1" thickBot="1">
      <c r="A110" s="18"/>
      <c r="B110" s="319" t="s">
        <v>2189</v>
      </c>
      <c r="C110" s="320"/>
      <c r="D110" s="323"/>
      <c r="E110" s="323"/>
      <c r="F110" s="323"/>
      <c r="G110" s="323"/>
      <c r="H110" s="323"/>
      <c r="I110" s="323"/>
      <c r="J110" s="323"/>
      <c r="K110" s="324"/>
    </row>
    <row r="111" spans="1:11" ht="15" customHeight="1" thickBot="1">
      <c r="A111" s="18"/>
      <c r="B111" s="314" t="s">
        <v>2</v>
      </c>
      <c r="C111" s="312" t="s">
        <v>1379</v>
      </c>
      <c r="D111" s="316" t="s">
        <v>845</v>
      </c>
      <c r="E111" s="317"/>
      <c r="F111" s="317"/>
      <c r="G111" s="318"/>
      <c r="H111" s="316" t="s">
        <v>846</v>
      </c>
      <c r="I111" s="317"/>
      <c r="J111" s="317"/>
      <c r="K111" s="318"/>
    </row>
    <row r="112" spans="1:11" ht="15" customHeight="1" thickBot="1">
      <c r="A112" s="18"/>
      <c r="B112" s="364"/>
      <c r="C112" s="313"/>
      <c r="D112" s="106" t="s">
        <v>847</v>
      </c>
      <c r="E112" s="105" t="s">
        <v>4</v>
      </c>
      <c r="F112" s="103" t="s">
        <v>5</v>
      </c>
      <c r="G112" s="105" t="s">
        <v>1420</v>
      </c>
      <c r="H112" s="103" t="s">
        <v>847</v>
      </c>
      <c r="I112" s="105" t="s">
        <v>4</v>
      </c>
      <c r="J112" s="103" t="s">
        <v>5</v>
      </c>
      <c r="K112" s="105" t="s">
        <v>1420</v>
      </c>
    </row>
    <row r="113" spans="1:13" ht="15" customHeight="1">
      <c r="A113" s="20" t="s">
        <v>935</v>
      </c>
      <c r="B113" s="130" t="s">
        <v>60</v>
      </c>
      <c r="C113" s="117" t="s">
        <v>0</v>
      </c>
      <c r="D113" s="216">
        <f>5568*(100%+20%)</f>
        <v>6681.599999999999</v>
      </c>
      <c r="E113" s="232">
        <f>6539*(100%+20%)</f>
        <v>7846.799999999999</v>
      </c>
      <c r="F113" s="217">
        <f>8210*(100%+20%)</f>
        <v>9852</v>
      </c>
      <c r="G113" s="233">
        <f>8210*(100%+20%)</f>
        <v>9852</v>
      </c>
      <c r="H113" s="216">
        <f>8729*(100%+20%)</f>
        <v>10474.8</v>
      </c>
      <c r="I113" s="232">
        <f>9700*(100%+20%)</f>
        <v>11640</v>
      </c>
      <c r="J113" s="217">
        <f>11370*(100%+20%)</f>
        <v>13644</v>
      </c>
      <c r="K113" s="234">
        <f>11370*(100%+20%)</f>
        <v>13644</v>
      </c>
      <c r="L113" s="69"/>
      <c r="M113" s="44"/>
    </row>
    <row r="114" spans="1:13" ht="15" customHeight="1">
      <c r="A114" s="21" t="s">
        <v>936</v>
      </c>
      <c r="B114" s="131" t="s">
        <v>6</v>
      </c>
      <c r="C114" s="118" t="s">
        <v>0</v>
      </c>
      <c r="D114" s="220">
        <f>4781*(100%+20%)</f>
        <v>5737.2</v>
      </c>
      <c r="E114" s="221">
        <f>5663*(100%+20%)</f>
        <v>6795.599999999999</v>
      </c>
      <c r="F114" s="221">
        <f>7183*(100%+20%)</f>
        <v>8619.6</v>
      </c>
      <c r="G114" s="222">
        <f>7183*(100%+20%)</f>
        <v>8619.6</v>
      </c>
      <c r="H114" s="220">
        <f>7941*(100%+20%)</f>
        <v>9529.199999999999</v>
      </c>
      <c r="I114" s="221">
        <f>8823*(100%+20%)</f>
        <v>10587.6</v>
      </c>
      <c r="J114" s="221">
        <f>10343*(100%+20%)</f>
        <v>12411.6</v>
      </c>
      <c r="K114" s="223">
        <f>10343*(100%+20%)</f>
        <v>12411.6</v>
      </c>
      <c r="L114" s="69"/>
      <c r="M114" s="44"/>
    </row>
    <row r="115" spans="1:13" ht="15" customHeight="1">
      <c r="A115" s="21" t="s">
        <v>937</v>
      </c>
      <c r="B115" s="131" t="s">
        <v>7</v>
      </c>
      <c r="C115" s="118" t="s">
        <v>0</v>
      </c>
      <c r="D115" s="220">
        <f>6929*(100%+20%)</f>
        <v>8314.8</v>
      </c>
      <c r="E115" s="221">
        <f>8049*(100%+20%)</f>
        <v>9658.8</v>
      </c>
      <c r="F115" s="221">
        <f>9981*(100%+20%)</f>
        <v>11977.199999999999</v>
      </c>
      <c r="G115" s="222">
        <f>9981*(100%+20%)</f>
        <v>11977.199999999999</v>
      </c>
      <c r="H115" s="220">
        <f>10088*(100%+20%)</f>
        <v>12105.6</v>
      </c>
      <c r="I115" s="221">
        <f>11209*(100%+20%)</f>
        <v>13450.8</v>
      </c>
      <c r="J115" s="221">
        <f>13141*(100%+20%)</f>
        <v>15769.199999999999</v>
      </c>
      <c r="K115" s="223">
        <f>13141*(100%+20%)</f>
        <v>15769.199999999999</v>
      </c>
      <c r="L115" s="69"/>
      <c r="M115" s="44"/>
    </row>
    <row r="116" spans="1:13" ht="15" customHeight="1">
      <c r="A116" s="21" t="s">
        <v>938</v>
      </c>
      <c r="B116" s="131" t="s">
        <v>763</v>
      </c>
      <c r="C116" s="118" t="s">
        <v>0</v>
      </c>
      <c r="D116" s="220">
        <f>6929*(100%+20%)</f>
        <v>8314.8</v>
      </c>
      <c r="E116" s="221">
        <f>8049*(100%+20%)</f>
        <v>9658.8</v>
      </c>
      <c r="F116" s="221">
        <f>9981*(100%+20%)</f>
        <v>11977.199999999999</v>
      </c>
      <c r="G116" s="222">
        <f>9981*(100%+20%)</f>
        <v>11977.199999999999</v>
      </c>
      <c r="H116" s="220">
        <f>10088*(100%+20%)</f>
        <v>12105.6</v>
      </c>
      <c r="I116" s="221">
        <f>11209*(100%+20%)</f>
        <v>13450.8</v>
      </c>
      <c r="J116" s="221">
        <f>13141*(100%+20%)</f>
        <v>15769.199999999999</v>
      </c>
      <c r="K116" s="223">
        <f>13141*(100%+20%)</f>
        <v>15769.199999999999</v>
      </c>
      <c r="L116" s="69"/>
      <c r="M116" s="44"/>
    </row>
    <row r="117" spans="1:13" ht="15" customHeight="1">
      <c r="A117" s="21" t="s">
        <v>939</v>
      </c>
      <c r="B117" s="131" t="s">
        <v>8</v>
      </c>
      <c r="C117" s="118" t="s">
        <v>9</v>
      </c>
      <c r="D117" s="220">
        <f>8285*(100%+20%)</f>
        <v>9942</v>
      </c>
      <c r="E117" s="221">
        <f>8285*(100%+20%)</f>
        <v>9942</v>
      </c>
      <c r="F117" s="221">
        <f>9975*(100%+20%)</f>
        <v>11970</v>
      </c>
      <c r="G117" s="222">
        <f>9975*(100%+20%)</f>
        <v>11970</v>
      </c>
      <c r="H117" s="220">
        <f>9802*(100%+20%)</f>
        <v>11762.4</v>
      </c>
      <c r="I117" s="221">
        <f>9802*(100%+20%)</f>
        <v>11762.4</v>
      </c>
      <c r="J117" s="221">
        <f>11492*(100%+20%)</f>
        <v>13790.4</v>
      </c>
      <c r="K117" s="223">
        <f>11492*(100%+20%)</f>
        <v>13790.4</v>
      </c>
      <c r="L117" s="69"/>
      <c r="M117" s="44"/>
    </row>
    <row r="118" spans="1:13" ht="15" customHeight="1">
      <c r="A118" s="21" t="s">
        <v>940</v>
      </c>
      <c r="B118" s="131" t="s">
        <v>10</v>
      </c>
      <c r="C118" s="118" t="s">
        <v>9</v>
      </c>
      <c r="D118" s="220">
        <f>4176*(100%+20%)</f>
        <v>5011.2</v>
      </c>
      <c r="E118" s="221">
        <f>4176*(100%+20%)</f>
        <v>5011.2</v>
      </c>
      <c r="F118" s="221">
        <f>5157*(100%+20%)</f>
        <v>6188.4</v>
      </c>
      <c r="G118" s="222">
        <f>5157*(100%+20%)</f>
        <v>6188.4</v>
      </c>
      <c r="H118" s="220">
        <f>5692*(100%+20%)</f>
        <v>6830.4</v>
      </c>
      <c r="I118" s="221">
        <f>5692*(100%+20%)</f>
        <v>6830.4</v>
      </c>
      <c r="J118" s="221">
        <f>6674*(100%+20%)</f>
        <v>8008.799999999999</v>
      </c>
      <c r="K118" s="223">
        <f>6674*(100%+20%)</f>
        <v>8008.799999999999</v>
      </c>
      <c r="L118" s="69"/>
      <c r="M118" s="44"/>
    </row>
    <row r="119" spans="1:13" ht="15" customHeight="1">
      <c r="A119" s="21" t="s">
        <v>941</v>
      </c>
      <c r="B119" s="131" t="s">
        <v>11</v>
      </c>
      <c r="C119" s="118" t="s">
        <v>9</v>
      </c>
      <c r="D119" s="220">
        <f>9042*(100%+20%)</f>
        <v>10850.4</v>
      </c>
      <c r="E119" s="221">
        <f>9042*(100%+20%)</f>
        <v>10850.4</v>
      </c>
      <c r="F119" s="221">
        <f>10861*(100%+20%)</f>
        <v>13033.199999999999</v>
      </c>
      <c r="G119" s="222">
        <f>10861*(100%+20%)</f>
        <v>13033.199999999999</v>
      </c>
      <c r="H119" s="220">
        <f>10560*(100%+20%)</f>
        <v>12672</v>
      </c>
      <c r="I119" s="221">
        <f>10560*(100%+20%)</f>
        <v>12672</v>
      </c>
      <c r="J119" s="221">
        <f>12377*(100%+20%)</f>
        <v>14852.4</v>
      </c>
      <c r="K119" s="223">
        <f>12377*(100%+20%)</f>
        <v>14852.4</v>
      </c>
      <c r="L119" s="69"/>
      <c r="M119" s="44"/>
    </row>
    <row r="120" spans="1:13" ht="15" customHeight="1">
      <c r="A120" s="21" t="s">
        <v>942</v>
      </c>
      <c r="B120" s="131" t="s">
        <v>61</v>
      </c>
      <c r="C120" s="118" t="s">
        <v>0</v>
      </c>
      <c r="D120" s="220">
        <f>5568*(100%+20%)</f>
        <v>6681.599999999999</v>
      </c>
      <c r="E120" s="221">
        <f>6539*(100%+20%)</f>
        <v>7846.799999999999</v>
      </c>
      <c r="F120" s="221">
        <f>8210*(100%+20%)</f>
        <v>9852</v>
      </c>
      <c r="G120" s="222">
        <f>8210*(100%+20%)</f>
        <v>9852</v>
      </c>
      <c r="H120" s="220">
        <f>8729*(100%+20%)</f>
        <v>10474.8</v>
      </c>
      <c r="I120" s="221">
        <f>9700*(100%+20%)</f>
        <v>11640</v>
      </c>
      <c r="J120" s="221">
        <f>11370*(100%+20%)</f>
        <v>13644</v>
      </c>
      <c r="K120" s="223">
        <f>11370*(100%+20%)</f>
        <v>13644</v>
      </c>
      <c r="L120" s="69"/>
      <c r="M120" s="44"/>
    </row>
    <row r="121" spans="1:13" ht="15" customHeight="1" thickBot="1">
      <c r="A121" s="32" t="s">
        <v>943</v>
      </c>
      <c r="B121" s="132" t="s">
        <v>17</v>
      </c>
      <c r="C121" s="119" t="s">
        <v>9</v>
      </c>
      <c r="D121" s="228">
        <f>1371*(100%+20%)</f>
        <v>1645.2</v>
      </c>
      <c r="E121" s="229">
        <f>1371*(100%+20%)</f>
        <v>1645.2</v>
      </c>
      <c r="F121" s="229">
        <f>1868*(100%+20%)</f>
        <v>2241.6</v>
      </c>
      <c r="G121" s="230">
        <f>1868*(100%+20%)</f>
        <v>2241.6</v>
      </c>
      <c r="H121" s="228">
        <f>2888*(100%+20%)</f>
        <v>3465.6</v>
      </c>
      <c r="I121" s="229">
        <f>2888*(100%+20%)</f>
        <v>3465.6</v>
      </c>
      <c r="J121" s="229">
        <f>3385*(100%+20%)</f>
        <v>4062</v>
      </c>
      <c r="K121" s="231">
        <f>3385*(100%+20%)</f>
        <v>4062</v>
      </c>
      <c r="L121" s="69"/>
      <c r="M121" s="44"/>
    </row>
    <row r="122" spans="1:11" ht="21" customHeight="1" thickBot="1">
      <c r="A122" s="18"/>
      <c r="B122" s="319" t="s">
        <v>2190</v>
      </c>
      <c r="C122" s="320"/>
      <c r="D122" s="323"/>
      <c r="E122" s="323"/>
      <c r="F122" s="323"/>
      <c r="G122" s="323"/>
      <c r="H122" s="323"/>
      <c r="I122" s="323"/>
      <c r="J122" s="323"/>
      <c r="K122" s="324"/>
    </row>
    <row r="123" spans="1:11" ht="15" customHeight="1" thickBot="1">
      <c r="A123" s="18"/>
      <c r="B123" s="314" t="s">
        <v>2</v>
      </c>
      <c r="C123" s="312" t="s">
        <v>3</v>
      </c>
      <c r="D123" s="316" t="s">
        <v>845</v>
      </c>
      <c r="E123" s="317"/>
      <c r="F123" s="317"/>
      <c r="G123" s="318"/>
      <c r="H123" s="316" t="s">
        <v>846</v>
      </c>
      <c r="I123" s="317"/>
      <c r="J123" s="317"/>
      <c r="K123" s="318"/>
    </row>
    <row r="124" spans="1:11" ht="15" customHeight="1" thickBot="1">
      <c r="A124" s="18"/>
      <c r="B124" s="364"/>
      <c r="C124" s="313"/>
      <c r="D124" s="106" t="s">
        <v>847</v>
      </c>
      <c r="E124" s="105" t="s">
        <v>4</v>
      </c>
      <c r="F124" s="103" t="s">
        <v>5</v>
      </c>
      <c r="G124" s="105" t="s">
        <v>1420</v>
      </c>
      <c r="H124" s="103" t="s">
        <v>847</v>
      </c>
      <c r="I124" s="105" t="s">
        <v>4</v>
      </c>
      <c r="J124" s="103" t="s">
        <v>5</v>
      </c>
      <c r="K124" s="105" t="s">
        <v>1420</v>
      </c>
    </row>
    <row r="125" spans="1:13" ht="15" customHeight="1">
      <c r="A125" s="20" t="s">
        <v>944</v>
      </c>
      <c r="B125" s="130" t="s">
        <v>60</v>
      </c>
      <c r="C125" s="117" t="s">
        <v>0</v>
      </c>
      <c r="D125" s="216">
        <f>5568*(100%+20%)</f>
        <v>6681.599999999999</v>
      </c>
      <c r="E125" s="232">
        <f>6539*(100%+20%)</f>
        <v>7846.799999999999</v>
      </c>
      <c r="F125" s="217">
        <f>8210*(100%+20%)</f>
        <v>9852</v>
      </c>
      <c r="G125" s="233">
        <f>8210*(100%+20%)</f>
        <v>9852</v>
      </c>
      <c r="H125" s="216">
        <f>8729*(100%+20%)</f>
        <v>10474.8</v>
      </c>
      <c r="I125" s="232">
        <f>9700*(100%+20%)</f>
        <v>11640</v>
      </c>
      <c r="J125" s="217">
        <f>11370*(100%+20%)</f>
        <v>13644</v>
      </c>
      <c r="K125" s="234">
        <f>11370*(100%+20%)</f>
        <v>13644</v>
      </c>
      <c r="L125" s="69"/>
      <c r="M125" s="44"/>
    </row>
    <row r="126" spans="1:13" ht="15" customHeight="1">
      <c r="A126" s="21" t="s">
        <v>945</v>
      </c>
      <c r="B126" s="131" t="s">
        <v>6</v>
      </c>
      <c r="C126" s="118" t="s">
        <v>0</v>
      </c>
      <c r="D126" s="220">
        <f>4781*(100%+20%)</f>
        <v>5737.2</v>
      </c>
      <c r="E126" s="221">
        <f>5663*(100%+20%)</f>
        <v>6795.599999999999</v>
      </c>
      <c r="F126" s="221">
        <f>7183*(100%+20%)</f>
        <v>8619.6</v>
      </c>
      <c r="G126" s="222">
        <f>7183*(100%+20%)</f>
        <v>8619.6</v>
      </c>
      <c r="H126" s="220">
        <f>7941*(100%+20%)</f>
        <v>9529.199999999999</v>
      </c>
      <c r="I126" s="221">
        <f>8823*(100%+20%)</f>
        <v>10587.6</v>
      </c>
      <c r="J126" s="221">
        <f>10343*(100%+20%)</f>
        <v>12411.6</v>
      </c>
      <c r="K126" s="223">
        <f>10343*(100%+20%)</f>
        <v>12411.6</v>
      </c>
      <c r="L126" s="69"/>
      <c r="M126" s="44"/>
    </row>
    <row r="127" spans="1:13" ht="15" customHeight="1">
      <c r="A127" s="21" t="s">
        <v>946</v>
      </c>
      <c r="B127" s="131" t="s">
        <v>7</v>
      </c>
      <c r="C127" s="118" t="s">
        <v>0</v>
      </c>
      <c r="D127" s="220">
        <f>6929*(100%+20%)</f>
        <v>8314.8</v>
      </c>
      <c r="E127" s="221">
        <f>8049*(100%+20%)</f>
        <v>9658.8</v>
      </c>
      <c r="F127" s="221">
        <f>9981*(100%+20%)</f>
        <v>11977.199999999999</v>
      </c>
      <c r="G127" s="222">
        <f>9981*(100%+20%)</f>
        <v>11977.199999999999</v>
      </c>
      <c r="H127" s="220">
        <f>10088*(100%+20%)</f>
        <v>12105.6</v>
      </c>
      <c r="I127" s="221">
        <f>11209*(100%+20%)</f>
        <v>13450.8</v>
      </c>
      <c r="J127" s="221">
        <f>13141*(100%+20%)</f>
        <v>15769.199999999999</v>
      </c>
      <c r="K127" s="223">
        <f>13141*(100%+20%)</f>
        <v>15769.199999999999</v>
      </c>
      <c r="L127" s="69"/>
      <c r="M127" s="44"/>
    </row>
    <row r="128" spans="1:13" ht="15" customHeight="1">
      <c r="A128" s="21" t="s">
        <v>947</v>
      </c>
      <c r="B128" s="131" t="s">
        <v>763</v>
      </c>
      <c r="C128" s="118" t="s">
        <v>0</v>
      </c>
      <c r="D128" s="220">
        <f>6929*(100%+20%)</f>
        <v>8314.8</v>
      </c>
      <c r="E128" s="221">
        <f>8049*(100%+20%)</f>
        <v>9658.8</v>
      </c>
      <c r="F128" s="221">
        <f>9981*(100%+20%)</f>
        <v>11977.199999999999</v>
      </c>
      <c r="G128" s="222">
        <f>9981*(100%+20%)</f>
        <v>11977.199999999999</v>
      </c>
      <c r="H128" s="220">
        <f>10088*(100%+20%)</f>
        <v>12105.6</v>
      </c>
      <c r="I128" s="221">
        <f>11209*(100%+20%)</f>
        <v>13450.8</v>
      </c>
      <c r="J128" s="221">
        <f>13141*(100%+20%)</f>
        <v>15769.199999999999</v>
      </c>
      <c r="K128" s="223">
        <f>13141*(100%+20%)</f>
        <v>15769.199999999999</v>
      </c>
      <c r="L128" s="69"/>
      <c r="M128" s="44"/>
    </row>
    <row r="129" spans="1:13" ht="15" customHeight="1">
      <c r="A129" s="21" t="s">
        <v>948</v>
      </c>
      <c r="B129" s="131" t="s">
        <v>8</v>
      </c>
      <c r="C129" s="118" t="s">
        <v>9</v>
      </c>
      <c r="D129" s="220">
        <f>8285*(100%+20%)</f>
        <v>9942</v>
      </c>
      <c r="E129" s="221">
        <f>8285*(100%+20%)</f>
        <v>9942</v>
      </c>
      <c r="F129" s="221">
        <f>9975*(100%+20%)</f>
        <v>11970</v>
      </c>
      <c r="G129" s="222">
        <f>9975*(100%+20%)</f>
        <v>11970</v>
      </c>
      <c r="H129" s="220">
        <f>9802*(100%+20%)</f>
        <v>11762.4</v>
      </c>
      <c r="I129" s="221">
        <f>9802*(100%+20%)</f>
        <v>11762.4</v>
      </c>
      <c r="J129" s="221">
        <f>11492*(100%+20%)</f>
        <v>13790.4</v>
      </c>
      <c r="K129" s="223">
        <f>11492*(100%+20%)</f>
        <v>13790.4</v>
      </c>
      <c r="L129" s="69"/>
      <c r="M129" s="44"/>
    </row>
    <row r="130" spans="1:13" ht="15" customHeight="1">
      <c r="A130" s="21" t="s">
        <v>949</v>
      </c>
      <c r="B130" s="131" t="s">
        <v>10</v>
      </c>
      <c r="C130" s="118" t="s">
        <v>9</v>
      </c>
      <c r="D130" s="220">
        <f>4176*(100%+20%)</f>
        <v>5011.2</v>
      </c>
      <c r="E130" s="221">
        <f>4176*(100%+20%)</f>
        <v>5011.2</v>
      </c>
      <c r="F130" s="221">
        <f>5157*(100%+20%)</f>
        <v>6188.4</v>
      </c>
      <c r="G130" s="222">
        <f>5157*(100%+20%)</f>
        <v>6188.4</v>
      </c>
      <c r="H130" s="220">
        <f>5692*(100%+20%)</f>
        <v>6830.4</v>
      </c>
      <c r="I130" s="221">
        <f>5692*(100%+20%)</f>
        <v>6830.4</v>
      </c>
      <c r="J130" s="221">
        <f>6674*(100%+20%)</f>
        <v>8008.799999999999</v>
      </c>
      <c r="K130" s="223">
        <f>6674*(100%+20%)</f>
        <v>8008.799999999999</v>
      </c>
      <c r="L130" s="69"/>
      <c r="M130" s="44"/>
    </row>
    <row r="131" spans="1:13" ht="15" customHeight="1">
      <c r="A131" s="21" t="s">
        <v>950</v>
      </c>
      <c r="B131" s="131" t="s">
        <v>11</v>
      </c>
      <c r="C131" s="118" t="s">
        <v>9</v>
      </c>
      <c r="D131" s="220">
        <f>9042*(100%+20%)</f>
        <v>10850.4</v>
      </c>
      <c r="E131" s="221">
        <f>9042*(100%+20%)</f>
        <v>10850.4</v>
      </c>
      <c r="F131" s="221">
        <f>10861*(100%+20%)</f>
        <v>13033.199999999999</v>
      </c>
      <c r="G131" s="222">
        <f>10861*(100%+20%)</f>
        <v>13033.199999999999</v>
      </c>
      <c r="H131" s="220">
        <f>10560*(100%+20%)</f>
        <v>12672</v>
      </c>
      <c r="I131" s="221">
        <f>10560*(100%+20%)</f>
        <v>12672</v>
      </c>
      <c r="J131" s="221">
        <f>12377*(100%+20%)</f>
        <v>14852.4</v>
      </c>
      <c r="K131" s="223">
        <f>12377*(100%+20%)</f>
        <v>14852.4</v>
      </c>
      <c r="L131" s="69"/>
      <c r="M131" s="44"/>
    </row>
    <row r="132" spans="1:13" ht="15" customHeight="1">
      <c r="A132" s="21" t="s">
        <v>951</v>
      </c>
      <c r="B132" s="131" t="s">
        <v>61</v>
      </c>
      <c r="C132" s="118" t="s">
        <v>0</v>
      </c>
      <c r="D132" s="220">
        <f>5568*(100%+20%)</f>
        <v>6681.599999999999</v>
      </c>
      <c r="E132" s="221">
        <f>6539*(100%+20%)</f>
        <v>7846.799999999999</v>
      </c>
      <c r="F132" s="221">
        <f>8210*(100%+20%)</f>
        <v>9852</v>
      </c>
      <c r="G132" s="222">
        <f>8210*(100%+20%)</f>
        <v>9852</v>
      </c>
      <c r="H132" s="220">
        <f>8729*(100%+20%)</f>
        <v>10474.8</v>
      </c>
      <c r="I132" s="221">
        <f>9700*(100%+20%)</f>
        <v>11640</v>
      </c>
      <c r="J132" s="221">
        <f>11370*(100%+20%)</f>
        <v>13644</v>
      </c>
      <c r="K132" s="223">
        <f>11370*(100%+20%)</f>
        <v>13644</v>
      </c>
      <c r="L132" s="69"/>
      <c r="M132" s="44"/>
    </row>
    <row r="133" spans="1:13" ht="15" customHeight="1" thickBot="1">
      <c r="A133" s="32" t="s">
        <v>952</v>
      </c>
      <c r="B133" s="132" t="s">
        <v>17</v>
      </c>
      <c r="C133" s="119" t="s">
        <v>9</v>
      </c>
      <c r="D133" s="228">
        <f>1371*(100%+20%)</f>
        <v>1645.2</v>
      </c>
      <c r="E133" s="229">
        <f>1371*(100%+20%)</f>
        <v>1645.2</v>
      </c>
      <c r="F133" s="229">
        <f>1868*(100%+20%)</f>
        <v>2241.6</v>
      </c>
      <c r="G133" s="230">
        <f>1868*(100%+20%)</f>
        <v>2241.6</v>
      </c>
      <c r="H133" s="228">
        <f>2888*(100%+20%)</f>
        <v>3465.6</v>
      </c>
      <c r="I133" s="229">
        <f>2888*(100%+20%)</f>
        <v>3465.6</v>
      </c>
      <c r="J133" s="229">
        <f>3385*(100%+20%)</f>
        <v>4062</v>
      </c>
      <c r="K133" s="231">
        <f>3385*(100%+20%)</f>
        <v>4062</v>
      </c>
      <c r="L133" s="69"/>
      <c r="M133" s="44"/>
    </row>
    <row r="134" spans="1:11" ht="21" customHeight="1" thickBot="1">
      <c r="A134" s="18"/>
      <c r="B134" s="319" t="s">
        <v>2191</v>
      </c>
      <c r="C134" s="320"/>
      <c r="D134" s="323"/>
      <c r="E134" s="323"/>
      <c r="F134" s="323"/>
      <c r="G134" s="323"/>
      <c r="H134" s="323"/>
      <c r="I134" s="323"/>
      <c r="J134" s="323"/>
      <c r="K134" s="324"/>
    </row>
    <row r="135" spans="1:11" ht="15" customHeight="1" thickBot="1">
      <c r="A135" s="18"/>
      <c r="B135" s="314" t="s">
        <v>2</v>
      </c>
      <c r="C135" s="312" t="s">
        <v>1379</v>
      </c>
      <c r="D135" s="316" t="s">
        <v>845</v>
      </c>
      <c r="E135" s="317"/>
      <c r="F135" s="317"/>
      <c r="G135" s="318"/>
      <c r="H135" s="316" t="s">
        <v>846</v>
      </c>
      <c r="I135" s="317"/>
      <c r="J135" s="317"/>
      <c r="K135" s="318"/>
    </row>
    <row r="136" spans="1:11" ht="15" customHeight="1" thickBot="1">
      <c r="A136" s="18"/>
      <c r="B136" s="364"/>
      <c r="C136" s="313"/>
      <c r="D136" s="106" t="s">
        <v>847</v>
      </c>
      <c r="E136" s="105" t="s">
        <v>4</v>
      </c>
      <c r="F136" s="103" t="s">
        <v>5</v>
      </c>
      <c r="G136" s="105" t="s">
        <v>1420</v>
      </c>
      <c r="H136" s="103" t="s">
        <v>847</v>
      </c>
      <c r="I136" s="105" t="s">
        <v>4</v>
      </c>
      <c r="J136" s="103" t="s">
        <v>5</v>
      </c>
      <c r="K136" s="105" t="s">
        <v>1420</v>
      </c>
    </row>
    <row r="137" spans="1:13" ht="15" customHeight="1">
      <c r="A137" s="20" t="s">
        <v>953</v>
      </c>
      <c r="B137" s="130" t="s">
        <v>60</v>
      </c>
      <c r="C137" s="117" t="s">
        <v>0</v>
      </c>
      <c r="D137" s="216">
        <f>5861*(100%+20%)</f>
        <v>7033.2</v>
      </c>
      <c r="E137" s="232">
        <f>6862*(100%+20%)</f>
        <v>8234.4</v>
      </c>
      <c r="F137" s="217">
        <f>8592*(100%+20%)</f>
        <v>10310.4</v>
      </c>
      <c r="G137" s="233">
        <f>8592*(100%+20%)</f>
        <v>10310.4</v>
      </c>
      <c r="H137" s="216">
        <f>9022*(100%+20%)</f>
        <v>10826.4</v>
      </c>
      <c r="I137" s="232">
        <f>10023*(100%+20%)</f>
        <v>12027.6</v>
      </c>
      <c r="J137" s="217">
        <f>11751*(100%+20%)</f>
        <v>14101.199999999999</v>
      </c>
      <c r="K137" s="234">
        <f>11751*(100%+20%)</f>
        <v>14101.199999999999</v>
      </c>
      <c r="L137" s="69"/>
      <c r="M137" s="44"/>
    </row>
    <row r="138" spans="1:13" ht="15" customHeight="1">
      <c r="A138" s="21" t="s">
        <v>954</v>
      </c>
      <c r="B138" s="131" t="s">
        <v>6</v>
      </c>
      <c r="C138" s="118" t="s">
        <v>0</v>
      </c>
      <c r="D138" s="220">
        <f>5041*(100%+20%)</f>
        <v>6049.2</v>
      </c>
      <c r="E138" s="221">
        <f>5952*(100%+20%)</f>
        <v>7142.4</v>
      </c>
      <c r="F138" s="221">
        <f>7523*(100%+20%)</f>
        <v>9027.6</v>
      </c>
      <c r="G138" s="222">
        <f>7523*(100%+20%)</f>
        <v>9027.6</v>
      </c>
      <c r="H138" s="220">
        <f>8200*(100%+20%)</f>
        <v>9840</v>
      </c>
      <c r="I138" s="221">
        <f>9112*(100%+20%)</f>
        <v>10934.4</v>
      </c>
      <c r="J138" s="221">
        <f>10683*(100%+20%)</f>
        <v>12819.6</v>
      </c>
      <c r="K138" s="223">
        <f>10683*(100%+20%)</f>
        <v>12819.6</v>
      </c>
      <c r="L138" s="69"/>
      <c r="M138" s="44"/>
    </row>
    <row r="139" spans="1:13" ht="15" customHeight="1">
      <c r="A139" s="21" t="s">
        <v>955</v>
      </c>
      <c r="B139" s="131" t="s">
        <v>7</v>
      </c>
      <c r="C139" s="118" t="s">
        <v>0</v>
      </c>
      <c r="D139" s="220">
        <f>7374*(100%+20%)</f>
        <v>8848.8</v>
      </c>
      <c r="E139" s="221">
        <f>8545*(100%+20%)</f>
        <v>10254</v>
      </c>
      <c r="F139" s="221">
        <f>10561*(100%+20%)</f>
        <v>12673.199999999999</v>
      </c>
      <c r="G139" s="222">
        <f>10561*(100%+20%)</f>
        <v>12673.199999999999</v>
      </c>
      <c r="H139" s="220">
        <f>10535*(100%+20%)</f>
        <v>12642</v>
      </c>
      <c r="I139" s="221">
        <f>11705*(100%+20%)</f>
        <v>14046</v>
      </c>
      <c r="J139" s="221">
        <f>13722*(100%+20%)</f>
        <v>16466.399999999998</v>
      </c>
      <c r="K139" s="223">
        <f>13722*(100%+20%)</f>
        <v>16466.399999999998</v>
      </c>
      <c r="L139" s="69"/>
      <c r="M139" s="44"/>
    </row>
    <row r="140" spans="1:13" ht="15" customHeight="1">
      <c r="A140" s="21" t="s">
        <v>956</v>
      </c>
      <c r="B140" s="131" t="s">
        <v>763</v>
      </c>
      <c r="C140" s="118" t="s">
        <v>0</v>
      </c>
      <c r="D140" s="220">
        <f>7374*(100%+20%)</f>
        <v>8848.8</v>
      </c>
      <c r="E140" s="221">
        <f>8545*(100%+20%)</f>
        <v>10254</v>
      </c>
      <c r="F140" s="221">
        <f>10561*(100%+20%)</f>
        <v>12673.199999999999</v>
      </c>
      <c r="G140" s="222">
        <f>10561*(100%+20%)</f>
        <v>12673.199999999999</v>
      </c>
      <c r="H140" s="220">
        <f>10535*(100%+20%)</f>
        <v>12642</v>
      </c>
      <c r="I140" s="221">
        <f>11705*(100%+20%)</f>
        <v>14046</v>
      </c>
      <c r="J140" s="221">
        <f>13722*(100%+20%)</f>
        <v>16466.399999999998</v>
      </c>
      <c r="K140" s="223">
        <f>13722*(100%+20%)</f>
        <v>16466.399999999998</v>
      </c>
      <c r="L140" s="69"/>
      <c r="M140" s="44"/>
    </row>
    <row r="141" spans="1:13" ht="15" customHeight="1">
      <c r="A141" s="22" t="s">
        <v>957</v>
      </c>
      <c r="B141" s="131" t="s">
        <v>14</v>
      </c>
      <c r="C141" s="118" t="s">
        <v>0</v>
      </c>
      <c r="D141" s="220">
        <f>11314*(100%+20%)</f>
        <v>13576.8</v>
      </c>
      <c r="E141" s="221">
        <f>12920*(100%+20%)</f>
        <v>15504</v>
      </c>
      <c r="F141" s="221">
        <f>15692*(100%+20%)</f>
        <v>18830.399999999998</v>
      </c>
      <c r="G141" s="222">
        <f>15692*(100%+20%)</f>
        <v>18830.399999999998</v>
      </c>
      <c r="H141" s="220">
        <f>14473*(100%+20%)</f>
        <v>17367.6</v>
      </c>
      <c r="I141" s="221">
        <f>16081*(100%+20%)</f>
        <v>19297.2</v>
      </c>
      <c r="J141" s="221">
        <f>18852*(100%+20%)</f>
        <v>22622.399999999998</v>
      </c>
      <c r="K141" s="223">
        <f>18852*(100%+20%)</f>
        <v>22622.399999999998</v>
      </c>
      <c r="L141" s="69"/>
      <c r="M141" s="44"/>
    </row>
    <row r="142" spans="1:13" ht="15" customHeight="1">
      <c r="A142" s="22" t="s">
        <v>958</v>
      </c>
      <c r="B142" s="131" t="s">
        <v>15</v>
      </c>
      <c r="C142" s="118" t="s">
        <v>0</v>
      </c>
      <c r="D142" s="220">
        <f>10492*(100%+20%)</f>
        <v>12590.4</v>
      </c>
      <c r="E142" s="221">
        <f>12010*(100%+20%)</f>
        <v>14412</v>
      </c>
      <c r="F142" s="221">
        <f>14623*(100%+20%)</f>
        <v>17547.6</v>
      </c>
      <c r="G142" s="222">
        <f>14623*(100%+20%)</f>
        <v>17547.6</v>
      </c>
      <c r="H142" s="220">
        <f>13653*(100%+20%)</f>
        <v>16383.599999999999</v>
      </c>
      <c r="I142" s="221">
        <f>15170*(100%+20%)</f>
        <v>18204</v>
      </c>
      <c r="J142" s="221">
        <f>17783*(100%+20%)</f>
        <v>21339.6</v>
      </c>
      <c r="K142" s="223">
        <f>17783*(100%+20%)</f>
        <v>21339.6</v>
      </c>
      <c r="L142" s="69"/>
      <c r="M142" s="44"/>
    </row>
    <row r="143" spans="1:13" ht="15" customHeight="1">
      <c r="A143" s="89"/>
      <c r="B143" s="131" t="s">
        <v>1436</v>
      </c>
      <c r="C143" s="118" t="s">
        <v>0</v>
      </c>
      <c r="D143" s="220">
        <f>5451*(100%+20%)</f>
        <v>6541.2</v>
      </c>
      <c r="E143" s="221">
        <f>6408*(100%+20%)</f>
        <v>7689.599999999999</v>
      </c>
      <c r="F143" s="221">
        <f>8058*(100%+20%)</f>
        <v>9669.6</v>
      </c>
      <c r="G143" s="222">
        <f>8058*(100%+20%)</f>
        <v>9669.6</v>
      </c>
      <c r="H143" s="220">
        <f>8611*(100%+20%)</f>
        <v>10333.199999999999</v>
      </c>
      <c r="I143" s="221">
        <f>9568*(100%+20%)</f>
        <v>11481.6</v>
      </c>
      <c r="J143" s="221">
        <f>11218*(100%+20%)</f>
        <v>13461.6</v>
      </c>
      <c r="K143" s="223">
        <f>11218*(100%+20%)</f>
        <v>13461.6</v>
      </c>
      <c r="L143" s="69"/>
      <c r="M143" s="44"/>
    </row>
    <row r="144" spans="1:13" ht="15" customHeight="1">
      <c r="A144" s="21" t="s">
        <v>959</v>
      </c>
      <c r="B144" s="131" t="s">
        <v>8</v>
      </c>
      <c r="C144" s="118" t="s">
        <v>9</v>
      </c>
      <c r="D144" s="220">
        <f>8539*(100%+20%)</f>
        <v>10246.8</v>
      </c>
      <c r="E144" s="221">
        <f>8539*(100%+20%)</f>
        <v>10246.8</v>
      </c>
      <c r="F144" s="221">
        <f>10272*(100%+20%)</f>
        <v>12326.4</v>
      </c>
      <c r="G144" s="222">
        <f>10272*(100%+20%)</f>
        <v>12326.4</v>
      </c>
      <c r="H144" s="220">
        <f>10055*(100%+20%)</f>
        <v>12066</v>
      </c>
      <c r="I144" s="221">
        <f>10055*(100%+20%)</f>
        <v>12066</v>
      </c>
      <c r="J144" s="221">
        <f>11788*(100%+20%)</f>
        <v>14145.6</v>
      </c>
      <c r="K144" s="223">
        <f>11788*(100%+20%)</f>
        <v>14145.6</v>
      </c>
      <c r="L144" s="69"/>
      <c r="M144" s="44"/>
    </row>
    <row r="145" spans="1:13" ht="15" customHeight="1">
      <c r="A145" s="21" t="s">
        <v>960</v>
      </c>
      <c r="B145" s="131" t="s">
        <v>10</v>
      </c>
      <c r="C145" s="118" t="s">
        <v>9</v>
      </c>
      <c r="D145" s="220">
        <f>4360*(100%+20%)</f>
        <v>5232</v>
      </c>
      <c r="E145" s="221">
        <f>4360*(100%+20%)</f>
        <v>5232</v>
      </c>
      <c r="F145" s="221">
        <f>5375*(100%+20%)</f>
        <v>6450</v>
      </c>
      <c r="G145" s="222">
        <f>5375*(100%+20%)</f>
        <v>6450</v>
      </c>
      <c r="H145" s="220">
        <f>5878*(100%+20%)</f>
        <v>7053.599999999999</v>
      </c>
      <c r="I145" s="221">
        <f>5878*(100%+20%)</f>
        <v>7053.599999999999</v>
      </c>
      <c r="J145" s="221">
        <f>6892*(100%+20%)</f>
        <v>8270.4</v>
      </c>
      <c r="K145" s="223">
        <f>6892*(100%+20%)</f>
        <v>8270.4</v>
      </c>
      <c r="L145" s="69"/>
      <c r="M145" s="44"/>
    </row>
    <row r="146" spans="1:13" ht="15" customHeight="1">
      <c r="A146" s="21" t="s">
        <v>961</v>
      </c>
      <c r="B146" s="131" t="s">
        <v>11</v>
      </c>
      <c r="C146" s="118" t="s">
        <v>9</v>
      </c>
      <c r="D146" s="220">
        <f>9347*(100%+20%)</f>
        <v>11216.4</v>
      </c>
      <c r="E146" s="221">
        <f>9347*(100%+20%)</f>
        <v>11216.4</v>
      </c>
      <c r="F146" s="221">
        <f>11220*(100%+20%)</f>
        <v>13464</v>
      </c>
      <c r="G146" s="222">
        <f>11220*(100%+20%)</f>
        <v>13464</v>
      </c>
      <c r="H146" s="220">
        <f>10865*(100%+20%)</f>
        <v>13038</v>
      </c>
      <c r="I146" s="221">
        <f>10865*(100%+20%)</f>
        <v>13038</v>
      </c>
      <c r="J146" s="221">
        <f>12737*(100%+20%)</f>
        <v>15284.4</v>
      </c>
      <c r="K146" s="223">
        <f>12737*(100%+20%)</f>
        <v>15284.4</v>
      </c>
      <c r="L146" s="69"/>
      <c r="M146" s="44"/>
    </row>
    <row r="147" spans="1:13" ht="15" customHeight="1">
      <c r="A147" s="21" t="s">
        <v>962</v>
      </c>
      <c r="B147" s="131" t="s">
        <v>61</v>
      </c>
      <c r="C147" s="118" t="s">
        <v>0</v>
      </c>
      <c r="D147" s="220">
        <f>5861*(100%+20%)</f>
        <v>7033.2</v>
      </c>
      <c r="E147" s="221">
        <f>6862*(100%+20%)</f>
        <v>8234.4</v>
      </c>
      <c r="F147" s="221">
        <f>8592*(100%+20%)</f>
        <v>10310.4</v>
      </c>
      <c r="G147" s="222">
        <f>8592*(100%+20%)</f>
        <v>10310.4</v>
      </c>
      <c r="H147" s="220">
        <f>9022*(100%+20%)</f>
        <v>10826.4</v>
      </c>
      <c r="I147" s="221">
        <f>10023*(100%+20%)</f>
        <v>12027.6</v>
      </c>
      <c r="J147" s="221">
        <f>11751*(100%+20%)</f>
        <v>14101.199999999999</v>
      </c>
      <c r="K147" s="223">
        <f>11751*(100%+20%)</f>
        <v>14101.199999999999</v>
      </c>
      <c r="L147" s="69"/>
      <c r="M147" s="44"/>
    </row>
    <row r="148" spans="1:13" ht="15" customHeight="1" thickBot="1">
      <c r="A148" s="32" t="s">
        <v>963</v>
      </c>
      <c r="B148" s="132" t="s">
        <v>17</v>
      </c>
      <c r="C148" s="119" t="s">
        <v>9</v>
      </c>
      <c r="D148" s="228">
        <f>1446*(100%+20%)</f>
        <v>1735.2</v>
      </c>
      <c r="E148" s="229">
        <f>1446*(100%+20%)</f>
        <v>1735.2</v>
      </c>
      <c r="F148" s="229">
        <f>1957*(100%+20%)</f>
        <v>2348.4</v>
      </c>
      <c r="G148" s="230">
        <f>1957*(100%+20%)</f>
        <v>2348.4</v>
      </c>
      <c r="H148" s="228">
        <f>2963*(100%+20%)</f>
        <v>3555.6</v>
      </c>
      <c r="I148" s="229">
        <f>2963*(100%+20%)</f>
        <v>3555.6</v>
      </c>
      <c r="J148" s="229">
        <f>3474*(100%+20%)</f>
        <v>4168.8</v>
      </c>
      <c r="K148" s="231">
        <f>3474*(100%+20%)</f>
        <v>4168.8</v>
      </c>
      <c r="L148" s="69"/>
      <c r="M148" s="44"/>
    </row>
    <row r="149" spans="1:11" ht="21" customHeight="1" thickBot="1">
      <c r="A149" s="18"/>
      <c r="B149" s="319" t="s">
        <v>20</v>
      </c>
      <c r="C149" s="320"/>
      <c r="D149" s="323"/>
      <c r="E149" s="323"/>
      <c r="F149" s="323"/>
      <c r="G149" s="323"/>
      <c r="H149" s="323"/>
      <c r="I149" s="323"/>
      <c r="J149" s="323"/>
      <c r="K149" s="324"/>
    </row>
    <row r="150" spans="1:11" ht="15" customHeight="1" thickBot="1">
      <c r="A150" s="18"/>
      <c r="B150" s="314" t="s">
        <v>2</v>
      </c>
      <c r="C150" s="312" t="s">
        <v>1379</v>
      </c>
      <c r="D150" s="316" t="s">
        <v>845</v>
      </c>
      <c r="E150" s="317"/>
      <c r="F150" s="317"/>
      <c r="G150" s="318"/>
      <c r="H150" s="316" t="s">
        <v>846</v>
      </c>
      <c r="I150" s="317"/>
      <c r="J150" s="317"/>
      <c r="K150" s="318"/>
    </row>
    <row r="151" spans="1:11" ht="15" customHeight="1" thickBot="1">
      <c r="A151" s="18"/>
      <c r="B151" s="364"/>
      <c r="C151" s="313"/>
      <c r="D151" s="106" t="s">
        <v>847</v>
      </c>
      <c r="E151" s="105" t="s">
        <v>4</v>
      </c>
      <c r="F151" s="103" t="s">
        <v>5</v>
      </c>
      <c r="G151" s="105" t="s">
        <v>1420</v>
      </c>
      <c r="H151" s="103" t="s">
        <v>847</v>
      </c>
      <c r="I151" s="105" t="s">
        <v>4</v>
      </c>
      <c r="J151" s="103" t="s">
        <v>5</v>
      </c>
      <c r="K151" s="105" t="s">
        <v>1420</v>
      </c>
    </row>
    <row r="152" spans="1:13" ht="15" customHeight="1">
      <c r="A152" s="20" t="s">
        <v>964</v>
      </c>
      <c r="B152" s="134" t="s">
        <v>60</v>
      </c>
      <c r="C152" s="117" t="s">
        <v>0</v>
      </c>
      <c r="D152" s="216">
        <f>5861*(100%+20%)</f>
        <v>7033.2</v>
      </c>
      <c r="E152" s="232">
        <f>6862*(100%+20%)</f>
        <v>8234.4</v>
      </c>
      <c r="F152" s="217">
        <f>8592*(100%+20%)</f>
        <v>10310.4</v>
      </c>
      <c r="G152" s="233">
        <f>8592*(100%+20%)</f>
        <v>10310.4</v>
      </c>
      <c r="H152" s="216">
        <f>9022*(100%+20%)</f>
        <v>10826.4</v>
      </c>
      <c r="I152" s="232">
        <f>10023*(100%+20%)</f>
        <v>12027.6</v>
      </c>
      <c r="J152" s="217">
        <f>11751*(100%+20%)</f>
        <v>14101.199999999999</v>
      </c>
      <c r="K152" s="234">
        <f>11751*(100%+20%)</f>
        <v>14101.199999999999</v>
      </c>
      <c r="L152" s="69"/>
      <c r="M152" s="44"/>
    </row>
    <row r="153" spans="1:13" ht="15" customHeight="1">
      <c r="A153" s="21" t="s">
        <v>965</v>
      </c>
      <c r="B153" s="135" t="s">
        <v>6</v>
      </c>
      <c r="C153" s="118" t="s">
        <v>0</v>
      </c>
      <c r="D153" s="220">
        <f>5041*(100%+20%)</f>
        <v>6049.2</v>
      </c>
      <c r="E153" s="221">
        <f>5952*(100%+20%)</f>
        <v>7142.4</v>
      </c>
      <c r="F153" s="221">
        <f>7523*(100%+20%)</f>
        <v>9027.6</v>
      </c>
      <c r="G153" s="222">
        <f>7523*(100%+20%)</f>
        <v>9027.6</v>
      </c>
      <c r="H153" s="220">
        <f>8200*(100%+20%)</f>
        <v>9840</v>
      </c>
      <c r="I153" s="221">
        <f>9112*(100%+20%)</f>
        <v>10934.4</v>
      </c>
      <c r="J153" s="221">
        <f>10683*(100%+20%)</f>
        <v>12819.6</v>
      </c>
      <c r="K153" s="223">
        <f>10683*(100%+20%)</f>
        <v>12819.6</v>
      </c>
      <c r="L153" s="69"/>
      <c r="M153" s="44"/>
    </row>
    <row r="154" spans="1:13" ht="15" customHeight="1">
      <c r="A154" s="21" t="s">
        <v>966</v>
      </c>
      <c r="B154" s="135" t="s">
        <v>7</v>
      </c>
      <c r="C154" s="118" t="s">
        <v>0</v>
      </c>
      <c r="D154" s="220">
        <f>7374*(100%+20%)</f>
        <v>8848.8</v>
      </c>
      <c r="E154" s="221">
        <f>8545*(100%+20%)</f>
        <v>10254</v>
      </c>
      <c r="F154" s="221">
        <f>10561*(100%+20%)</f>
        <v>12673.199999999999</v>
      </c>
      <c r="G154" s="222">
        <f>10561*(100%+20%)</f>
        <v>12673.199999999999</v>
      </c>
      <c r="H154" s="220">
        <f>10535*(100%+20%)</f>
        <v>12642</v>
      </c>
      <c r="I154" s="221">
        <f>11705*(100%+20%)</f>
        <v>14046</v>
      </c>
      <c r="J154" s="221">
        <f>13722*(100%+20%)</f>
        <v>16466.399999999998</v>
      </c>
      <c r="K154" s="223">
        <f>13722*(100%+20%)</f>
        <v>16466.399999999998</v>
      </c>
      <c r="L154" s="69"/>
      <c r="M154" s="44"/>
    </row>
    <row r="155" spans="1:13" ht="15" customHeight="1">
      <c r="A155" s="21" t="s">
        <v>967</v>
      </c>
      <c r="B155" s="135" t="s">
        <v>763</v>
      </c>
      <c r="C155" s="118" t="s">
        <v>0</v>
      </c>
      <c r="D155" s="220">
        <f>7374*(100%+20%)</f>
        <v>8848.8</v>
      </c>
      <c r="E155" s="221">
        <f>8545*(100%+20%)</f>
        <v>10254</v>
      </c>
      <c r="F155" s="221">
        <f>10561*(100%+20%)</f>
        <v>12673.199999999999</v>
      </c>
      <c r="G155" s="222">
        <f>10561*(100%+20%)</f>
        <v>12673.199999999999</v>
      </c>
      <c r="H155" s="220">
        <f>10535*(100%+20%)</f>
        <v>12642</v>
      </c>
      <c r="I155" s="221">
        <f>11705*(100%+20%)</f>
        <v>14046</v>
      </c>
      <c r="J155" s="221">
        <f>13722*(100%+20%)</f>
        <v>16466.399999999998</v>
      </c>
      <c r="K155" s="223">
        <f>13722*(100%+20%)</f>
        <v>16466.399999999998</v>
      </c>
      <c r="L155" s="69"/>
      <c r="M155" s="44"/>
    </row>
    <row r="156" spans="1:13" ht="15" customHeight="1">
      <c r="A156" s="21" t="s">
        <v>968</v>
      </c>
      <c r="B156" s="135" t="s">
        <v>8</v>
      </c>
      <c r="C156" s="118" t="s">
        <v>9</v>
      </c>
      <c r="D156" s="220">
        <f>8539*(100%+20%)</f>
        <v>10246.8</v>
      </c>
      <c r="E156" s="221">
        <f>8539*(100%+20%)</f>
        <v>10246.8</v>
      </c>
      <c r="F156" s="221">
        <f>10272*(100%+20%)</f>
        <v>12326.4</v>
      </c>
      <c r="G156" s="222">
        <f>10272*(100%+20%)</f>
        <v>12326.4</v>
      </c>
      <c r="H156" s="220">
        <f>10055*(100%+20%)</f>
        <v>12066</v>
      </c>
      <c r="I156" s="221">
        <f>10055*(100%+20%)</f>
        <v>12066</v>
      </c>
      <c r="J156" s="221">
        <f>11788*(100%+20%)</f>
        <v>14145.6</v>
      </c>
      <c r="K156" s="223">
        <f>11788*(100%+20%)</f>
        <v>14145.6</v>
      </c>
      <c r="L156" s="69"/>
      <c r="M156" s="44"/>
    </row>
    <row r="157" spans="1:13" ht="15" customHeight="1">
      <c r="A157" s="21" t="s">
        <v>969</v>
      </c>
      <c r="B157" s="135" t="s">
        <v>10</v>
      </c>
      <c r="C157" s="118" t="s">
        <v>9</v>
      </c>
      <c r="D157" s="220">
        <f>4360*(100%+20%)</f>
        <v>5232</v>
      </c>
      <c r="E157" s="221">
        <f>4360*(100%+20%)</f>
        <v>5232</v>
      </c>
      <c r="F157" s="221">
        <f>5375*(100%+20%)</f>
        <v>6450</v>
      </c>
      <c r="G157" s="222">
        <f>5375*(100%+20%)</f>
        <v>6450</v>
      </c>
      <c r="H157" s="220">
        <f>5878*(100%+20%)</f>
        <v>7053.599999999999</v>
      </c>
      <c r="I157" s="221">
        <f>5878*(100%+20%)</f>
        <v>7053.599999999999</v>
      </c>
      <c r="J157" s="221">
        <f>6892*(100%+20%)</f>
        <v>8270.4</v>
      </c>
      <c r="K157" s="223">
        <f>6892*(100%+20%)</f>
        <v>8270.4</v>
      </c>
      <c r="L157" s="69"/>
      <c r="M157" s="44"/>
    </row>
    <row r="158" spans="1:13" ht="15" customHeight="1" thickBot="1">
      <c r="A158" s="32" t="s">
        <v>970</v>
      </c>
      <c r="B158" s="136" t="s">
        <v>11</v>
      </c>
      <c r="C158" s="119" t="s">
        <v>9</v>
      </c>
      <c r="D158" s="228">
        <f>9347*(100%+20%)</f>
        <v>11216.4</v>
      </c>
      <c r="E158" s="229">
        <f>9347*(100%+20%)</f>
        <v>11216.4</v>
      </c>
      <c r="F158" s="229">
        <f>11220*(100%+20%)</f>
        <v>13464</v>
      </c>
      <c r="G158" s="230">
        <f>11220*(100%+20%)</f>
        <v>13464</v>
      </c>
      <c r="H158" s="228">
        <f>10865*(100%+20%)</f>
        <v>13038</v>
      </c>
      <c r="I158" s="229">
        <f>10865*(100%+20%)</f>
        <v>13038</v>
      </c>
      <c r="J158" s="229">
        <f>12737*(100%+20%)</f>
        <v>15284.4</v>
      </c>
      <c r="K158" s="231">
        <f>12737*(100%+20%)</f>
        <v>15284.4</v>
      </c>
      <c r="L158" s="69"/>
      <c r="M158" s="44"/>
    </row>
    <row r="159" spans="1:11" ht="21" customHeight="1" thickBot="1">
      <c r="A159" s="18"/>
      <c r="B159" s="319" t="s">
        <v>2192</v>
      </c>
      <c r="C159" s="320"/>
      <c r="D159" s="323"/>
      <c r="E159" s="323"/>
      <c r="F159" s="323"/>
      <c r="G159" s="323"/>
      <c r="H159" s="323"/>
      <c r="I159" s="323"/>
      <c r="J159" s="323"/>
      <c r="K159" s="324"/>
    </row>
    <row r="160" spans="1:11" ht="15" customHeight="1" thickBot="1">
      <c r="A160" s="18"/>
      <c r="B160" s="314" t="s">
        <v>2</v>
      </c>
      <c r="C160" s="312" t="s">
        <v>1379</v>
      </c>
      <c r="D160" s="316" t="s">
        <v>845</v>
      </c>
      <c r="E160" s="317"/>
      <c r="F160" s="317"/>
      <c r="G160" s="318"/>
      <c r="H160" s="316" t="s">
        <v>846</v>
      </c>
      <c r="I160" s="317"/>
      <c r="J160" s="317"/>
      <c r="K160" s="318"/>
    </row>
    <row r="161" spans="1:11" ht="15" customHeight="1" thickBot="1">
      <c r="A161" s="18"/>
      <c r="B161" s="364"/>
      <c r="C161" s="313"/>
      <c r="D161" s="106" t="s">
        <v>847</v>
      </c>
      <c r="E161" s="105" t="s">
        <v>4</v>
      </c>
      <c r="F161" s="103" t="s">
        <v>5</v>
      </c>
      <c r="G161" s="105" t="s">
        <v>1420</v>
      </c>
      <c r="H161" s="103" t="s">
        <v>847</v>
      </c>
      <c r="I161" s="105" t="s">
        <v>4</v>
      </c>
      <c r="J161" s="103" t="s">
        <v>5</v>
      </c>
      <c r="K161" s="105" t="s">
        <v>1420</v>
      </c>
    </row>
    <row r="162" spans="1:13" ht="15" customHeight="1">
      <c r="A162" s="20" t="s">
        <v>971</v>
      </c>
      <c r="B162" s="130" t="s">
        <v>60</v>
      </c>
      <c r="C162" s="117" t="s">
        <v>0</v>
      </c>
      <c r="D162" s="216">
        <f>5861*(100%+20%)</f>
        <v>7033.2</v>
      </c>
      <c r="E162" s="232">
        <f>6862*(100%+20%)</f>
        <v>8234.4</v>
      </c>
      <c r="F162" s="217">
        <f>8592*(100%+20%)</f>
        <v>10310.4</v>
      </c>
      <c r="G162" s="233">
        <f>8592*(100%+20%)</f>
        <v>10310.4</v>
      </c>
      <c r="H162" s="216">
        <f>9022*(100%+20%)</f>
        <v>10826.4</v>
      </c>
      <c r="I162" s="232">
        <f>10023*(100%+20%)</f>
        <v>12027.6</v>
      </c>
      <c r="J162" s="217">
        <f>11751*(100%+20%)</f>
        <v>14101.199999999999</v>
      </c>
      <c r="K162" s="234">
        <f>11751*(100%+20%)</f>
        <v>14101.199999999999</v>
      </c>
      <c r="L162" s="69"/>
      <c r="M162" s="44"/>
    </row>
    <row r="163" spans="1:13" ht="15" customHeight="1">
      <c r="A163" s="21" t="s">
        <v>972</v>
      </c>
      <c r="B163" s="131" t="s">
        <v>6</v>
      </c>
      <c r="C163" s="118" t="s">
        <v>0</v>
      </c>
      <c r="D163" s="220">
        <f>5041*(100%+20%)</f>
        <v>6049.2</v>
      </c>
      <c r="E163" s="221">
        <f>5952*(100%+20%)</f>
        <v>7142.4</v>
      </c>
      <c r="F163" s="221">
        <f>7523*(100%+20%)</f>
        <v>9027.6</v>
      </c>
      <c r="G163" s="222">
        <f>7523*(100%+20%)</f>
        <v>9027.6</v>
      </c>
      <c r="H163" s="220">
        <f>8200*(100%+20%)</f>
        <v>9840</v>
      </c>
      <c r="I163" s="221">
        <f>9112*(100%+20%)</f>
        <v>10934.4</v>
      </c>
      <c r="J163" s="221">
        <f>10683*(100%+20%)</f>
        <v>12819.6</v>
      </c>
      <c r="K163" s="223">
        <f>10683*(100%+20%)</f>
        <v>12819.6</v>
      </c>
      <c r="L163" s="69"/>
      <c r="M163" s="44"/>
    </row>
    <row r="164" spans="1:13" ht="15" customHeight="1">
      <c r="A164" s="21" t="s">
        <v>973</v>
      </c>
      <c r="B164" s="131" t="s">
        <v>7</v>
      </c>
      <c r="C164" s="118" t="s">
        <v>0</v>
      </c>
      <c r="D164" s="220">
        <f>7374*(100%+20%)</f>
        <v>8848.8</v>
      </c>
      <c r="E164" s="221">
        <f>8545*(100%+20%)</f>
        <v>10254</v>
      </c>
      <c r="F164" s="221">
        <f>10561*(100%+20%)</f>
        <v>12673.199999999999</v>
      </c>
      <c r="G164" s="222">
        <f>10561*(100%+20%)</f>
        <v>12673.199999999999</v>
      </c>
      <c r="H164" s="220">
        <f>10535*(100%+20%)</f>
        <v>12642</v>
      </c>
      <c r="I164" s="221">
        <f>11705*(100%+20%)</f>
        <v>14046</v>
      </c>
      <c r="J164" s="221">
        <f>13722*(100%+20%)</f>
        <v>16466.399999999998</v>
      </c>
      <c r="K164" s="223">
        <f>13722*(100%+20%)</f>
        <v>16466.399999999998</v>
      </c>
      <c r="L164" s="69"/>
      <c r="M164" s="44"/>
    </row>
    <row r="165" spans="1:13" ht="15" customHeight="1">
      <c r="A165" s="21" t="s">
        <v>974</v>
      </c>
      <c r="B165" s="131" t="s">
        <v>763</v>
      </c>
      <c r="C165" s="118" t="s">
        <v>0</v>
      </c>
      <c r="D165" s="220">
        <f>7374*(100%+20%)</f>
        <v>8848.8</v>
      </c>
      <c r="E165" s="221">
        <f>8545*(100%+20%)</f>
        <v>10254</v>
      </c>
      <c r="F165" s="221">
        <f>10561*(100%+20%)</f>
        <v>12673.199999999999</v>
      </c>
      <c r="G165" s="222">
        <f>10561*(100%+20%)</f>
        <v>12673.199999999999</v>
      </c>
      <c r="H165" s="220">
        <f>10535*(100%+20%)</f>
        <v>12642</v>
      </c>
      <c r="I165" s="221">
        <f>11705*(100%+20%)</f>
        <v>14046</v>
      </c>
      <c r="J165" s="221">
        <f>13722*(100%+20%)</f>
        <v>16466.399999999998</v>
      </c>
      <c r="K165" s="223">
        <f>13722*(100%+20%)</f>
        <v>16466.399999999998</v>
      </c>
      <c r="L165" s="69"/>
      <c r="M165" s="44"/>
    </row>
    <row r="166" spans="1:13" ht="15" customHeight="1">
      <c r="A166" s="21" t="s">
        <v>975</v>
      </c>
      <c r="B166" s="131" t="s">
        <v>8</v>
      </c>
      <c r="C166" s="118" t="s">
        <v>9</v>
      </c>
      <c r="D166" s="220">
        <f>8539*(100%+20%)</f>
        <v>10246.8</v>
      </c>
      <c r="E166" s="221">
        <f>8539*(100%+20%)</f>
        <v>10246.8</v>
      </c>
      <c r="F166" s="221">
        <f>10272*(100%+20%)</f>
        <v>12326.4</v>
      </c>
      <c r="G166" s="222">
        <f>10272*(100%+20%)</f>
        <v>12326.4</v>
      </c>
      <c r="H166" s="220">
        <f>10055*(100%+20%)</f>
        <v>12066</v>
      </c>
      <c r="I166" s="221">
        <f>10055*(100%+20%)</f>
        <v>12066</v>
      </c>
      <c r="J166" s="221">
        <f>11788*(100%+20%)</f>
        <v>14145.6</v>
      </c>
      <c r="K166" s="223">
        <f>11788*(100%+20%)</f>
        <v>14145.6</v>
      </c>
      <c r="L166" s="69"/>
      <c r="M166" s="44"/>
    </row>
    <row r="167" spans="1:13" ht="15" customHeight="1">
      <c r="A167" s="21" t="s">
        <v>976</v>
      </c>
      <c r="B167" s="131" t="s">
        <v>10</v>
      </c>
      <c r="C167" s="118" t="s">
        <v>9</v>
      </c>
      <c r="D167" s="220">
        <f>4360*(100%+20%)</f>
        <v>5232</v>
      </c>
      <c r="E167" s="221">
        <f>4360*(100%+20%)</f>
        <v>5232</v>
      </c>
      <c r="F167" s="221">
        <f>5375*(100%+20%)</f>
        <v>6450</v>
      </c>
      <c r="G167" s="222">
        <f>5375*(100%+20%)</f>
        <v>6450</v>
      </c>
      <c r="H167" s="220">
        <f>5878*(100%+20%)</f>
        <v>7053.599999999999</v>
      </c>
      <c r="I167" s="221">
        <f>5878*(100%+20%)</f>
        <v>7053.599999999999</v>
      </c>
      <c r="J167" s="221">
        <f>6892*(100%+20%)</f>
        <v>8270.4</v>
      </c>
      <c r="K167" s="223">
        <f>6892*(100%+20%)</f>
        <v>8270.4</v>
      </c>
      <c r="L167" s="69"/>
      <c r="M167" s="44"/>
    </row>
    <row r="168" spans="1:13" ht="15" customHeight="1">
      <c r="A168" s="21" t="s">
        <v>977</v>
      </c>
      <c r="B168" s="131" t="s">
        <v>11</v>
      </c>
      <c r="C168" s="118" t="s">
        <v>9</v>
      </c>
      <c r="D168" s="220">
        <f>9347*(100%+20%)</f>
        <v>11216.4</v>
      </c>
      <c r="E168" s="221">
        <f>9347*(100%+20%)</f>
        <v>11216.4</v>
      </c>
      <c r="F168" s="221">
        <f>11220*(100%+20%)</f>
        <v>13464</v>
      </c>
      <c r="G168" s="222">
        <f>11220*(100%+20%)</f>
        <v>13464</v>
      </c>
      <c r="H168" s="220">
        <f>10865*(100%+20%)</f>
        <v>13038</v>
      </c>
      <c r="I168" s="221">
        <f>10865*(100%+20%)</f>
        <v>13038</v>
      </c>
      <c r="J168" s="221">
        <f>12737*(100%+20%)</f>
        <v>15284.4</v>
      </c>
      <c r="K168" s="223">
        <f>12737*(100%+20%)</f>
        <v>15284.4</v>
      </c>
      <c r="L168" s="69"/>
      <c r="M168" s="44"/>
    </row>
    <row r="169" spans="1:13" ht="15" customHeight="1">
      <c r="A169" s="21" t="s">
        <v>978</v>
      </c>
      <c r="B169" s="131" t="s">
        <v>61</v>
      </c>
      <c r="C169" s="118" t="s">
        <v>0</v>
      </c>
      <c r="D169" s="220">
        <f>5861*(100%+20%)</f>
        <v>7033.2</v>
      </c>
      <c r="E169" s="221">
        <f>6862*(100%+20%)</f>
        <v>8234.4</v>
      </c>
      <c r="F169" s="221">
        <f>8592*(100%+20%)</f>
        <v>10310.4</v>
      </c>
      <c r="G169" s="222">
        <f>8592*(100%+20%)</f>
        <v>10310.4</v>
      </c>
      <c r="H169" s="220">
        <f>9022*(100%+20%)</f>
        <v>10826.4</v>
      </c>
      <c r="I169" s="221">
        <f>10023*(100%+20%)</f>
        <v>12027.6</v>
      </c>
      <c r="J169" s="221">
        <f>11751*(100%+20%)</f>
        <v>14101.199999999999</v>
      </c>
      <c r="K169" s="223">
        <f>11751*(100%+20%)</f>
        <v>14101.199999999999</v>
      </c>
      <c r="L169" s="69"/>
      <c r="M169" s="44"/>
    </row>
    <row r="170" spans="1:13" ht="15" customHeight="1" thickBot="1">
      <c r="A170" s="32" t="s">
        <v>979</v>
      </c>
      <c r="B170" s="132" t="s">
        <v>17</v>
      </c>
      <c r="C170" s="119" t="s">
        <v>9</v>
      </c>
      <c r="D170" s="228">
        <f>1446*(100%+20%)</f>
        <v>1735.2</v>
      </c>
      <c r="E170" s="229">
        <f>1446*(100%+20%)</f>
        <v>1735.2</v>
      </c>
      <c r="F170" s="229">
        <f>1957*(100%+20%)</f>
        <v>2348.4</v>
      </c>
      <c r="G170" s="230">
        <f>1957*(100%+20%)</f>
        <v>2348.4</v>
      </c>
      <c r="H170" s="228">
        <f>2963*(100%+20%)</f>
        <v>3555.6</v>
      </c>
      <c r="I170" s="229">
        <f>2963*(100%+20%)</f>
        <v>3555.6</v>
      </c>
      <c r="J170" s="229">
        <f>3474*(100%+20%)</f>
        <v>4168.8</v>
      </c>
      <c r="K170" s="231">
        <f>3474*(100%+20%)</f>
        <v>4168.8</v>
      </c>
      <c r="L170" s="69"/>
      <c r="M170" s="44"/>
    </row>
    <row r="171" spans="1:11" ht="21" customHeight="1" thickBot="1">
      <c r="A171" s="18"/>
      <c r="B171" s="319" t="s">
        <v>2193</v>
      </c>
      <c r="C171" s="320"/>
      <c r="D171" s="323"/>
      <c r="E171" s="323"/>
      <c r="F171" s="323"/>
      <c r="G171" s="323"/>
      <c r="H171" s="323"/>
      <c r="I171" s="323"/>
      <c r="J171" s="323"/>
      <c r="K171" s="324"/>
    </row>
    <row r="172" spans="1:11" ht="15" customHeight="1" thickBot="1">
      <c r="A172" s="18"/>
      <c r="B172" s="314" t="s">
        <v>2</v>
      </c>
      <c r="C172" s="312" t="s">
        <v>1379</v>
      </c>
      <c r="D172" s="316" t="s">
        <v>845</v>
      </c>
      <c r="E172" s="317"/>
      <c r="F172" s="317"/>
      <c r="G172" s="318"/>
      <c r="H172" s="316" t="s">
        <v>846</v>
      </c>
      <c r="I172" s="317"/>
      <c r="J172" s="317"/>
      <c r="K172" s="318"/>
    </row>
    <row r="173" spans="1:11" ht="15" customHeight="1" thickBot="1">
      <c r="A173" s="18"/>
      <c r="B173" s="364"/>
      <c r="C173" s="313"/>
      <c r="D173" s="106" t="s">
        <v>847</v>
      </c>
      <c r="E173" s="105" t="s">
        <v>4</v>
      </c>
      <c r="F173" s="103" t="s">
        <v>5</v>
      </c>
      <c r="G173" s="105" t="s">
        <v>1420</v>
      </c>
      <c r="H173" s="103" t="s">
        <v>847</v>
      </c>
      <c r="I173" s="105" t="s">
        <v>4</v>
      </c>
      <c r="J173" s="103" t="s">
        <v>5</v>
      </c>
      <c r="K173" s="105" t="s">
        <v>1420</v>
      </c>
    </row>
    <row r="174" spans="1:13" ht="15" customHeight="1">
      <c r="A174" s="78" t="s">
        <v>980</v>
      </c>
      <c r="B174" s="137" t="s">
        <v>60</v>
      </c>
      <c r="C174" s="117" t="s">
        <v>0</v>
      </c>
      <c r="D174" s="216">
        <f>6015*(100%+20%)</f>
        <v>7218</v>
      </c>
      <c r="E174" s="232">
        <f>7033*(100%+20%)</f>
        <v>8439.6</v>
      </c>
      <c r="F174" s="217">
        <f>8791*(100%+20%)</f>
        <v>10549.199999999999</v>
      </c>
      <c r="G174" s="233">
        <f>8791*(100%+20%)</f>
        <v>10549.199999999999</v>
      </c>
      <c r="H174" s="216">
        <f>9175*(100%+20%)</f>
        <v>11010</v>
      </c>
      <c r="I174" s="232">
        <f>10193*(100%+20%)</f>
        <v>12231.6</v>
      </c>
      <c r="J174" s="217">
        <f>11951*(100%+20%)</f>
        <v>14341.199999999999</v>
      </c>
      <c r="K174" s="234">
        <f>11951*(100%+20%)</f>
        <v>14341.199999999999</v>
      </c>
      <c r="L174" s="69"/>
      <c r="M174" s="44"/>
    </row>
    <row r="175" spans="1:13" ht="15" customHeight="1">
      <c r="A175" s="74" t="s">
        <v>981</v>
      </c>
      <c r="B175" s="138" t="s">
        <v>6</v>
      </c>
      <c r="C175" s="118" t="s">
        <v>0</v>
      </c>
      <c r="D175" s="220">
        <f>5182*(100%+20%)</f>
        <v>6218.4</v>
      </c>
      <c r="E175" s="221">
        <f>6108*(100%+20%)</f>
        <v>7329.599999999999</v>
      </c>
      <c r="F175" s="221">
        <f>7706*(100%+20%)</f>
        <v>9247.199999999999</v>
      </c>
      <c r="G175" s="222">
        <f>7706*(100%+20%)</f>
        <v>9247.199999999999</v>
      </c>
      <c r="H175" s="220">
        <f>8342*(100%+20%)</f>
        <v>10010.4</v>
      </c>
      <c r="I175" s="221">
        <f>9268*(100%+20%)</f>
        <v>11121.6</v>
      </c>
      <c r="J175" s="221">
        <f>10866*(100%+20%)</f>
        <v>13039.199999999999</v>
      </c>
      <c r="K175" s="223">
        <f>10866*(100%+20%)</f>
        <v>13039.199999999999</v>
      </c>
      <c r="L175" s="69"/>
      <c r="M175" s="44"/>
    </row>
    <row r="176" spans="1:13" ht="15" customHeight="1">
      <c r="A176" s="74" t="s">
        <v>982</v>
      </c>
      <c r="B176" s="138" t="s">
        <v>7</v>
      </c>
      <c r="C176" s="118" t="s">
        <v>0</v>
      </c>
      <c r="D176" s="220">
        <f>7553*(100%+20%)</f>
        <v>9063.6</v>
      </c>
      <c r="E176" s="221">
        <f>8743*(100%+20%)</f>
        <v>10491.6</v>
      </c>
      <c r="F176" s="221">
        <f>10796*(100%+20%)</f>
        <v>12955.199999999999</v>
      </c>
      <c r="G176" s="222">
        <f>10796*(100%+20%)</f>
        <v>12955.199999999999</v>
      </c>
      <c r="H176" s="220">
        <f>10713*(100%+20%)</f>
        <v>12855.6</v>
      </c>
      <c r="I176" s="221">
        <f>11904*(100%+20%)</f>
        <v>14284.8</v>
      </c>
      <c r="J176" s="221">
        <f>13956*(100%+20%)</f>
        <v>16747.2</v>
      </c>
      <c r="K176" s="223">
        <f>13956*(100%+20%)</f>
        <v>16747.2</v>
      </c>
      <c r="L176" s="69"/>
      <c r="M176" s="44"/>
    </row>
    <row r="177" spans="1:13" ht="15" customHeight="1">
      <c r="A177" s="74" t="s">
        <v>983</v>
      </c>
      <c r="B177" s="138" t="s">
        <v>763</v>
      </c>
      <c r="C177" s="118" t="s">
        <v>0</v>
      </c>
      <c r="D177" s="220">
        <f>7553*(100%+20%)</f>
        <v>9063.6</v>
      </c>
      <c r="E177" s="221">
        <f>8743*(100%+20%)</f>
        <v>10491.6</v>
      </c>
      <c r="F177" s="221">
        <f>10796*(100%+20%)</f>
        <v>12955.199999999999</v>
      </c>
      <c r="G177" s="222">
        <f>10796*(100%+20%)</f>
        <v>12955.199999999999</v>
      </c>
      <c r="H177" s="220">
        <f>10713*(100%+20%)</f>
        <v>12855.6</v>
      </c>
      <c r="I177" s="221">
        <f>11904*(100%+20%)</f>
        <v>14284.8</v>
      </c>
      <c r="J177" s="221">
        <f>13956*(100%+20%)</f>
        <v>16747.2</v>
      </c>
      <c r="K177" s="223">
        <f>13956*(100%+20%)</f>
        <v>16747.2</v>
      </c>
      <c r="L177" s="69"/>
      <c r="M177" s="44"/>
    </row>
    <row r="178" spans="1:13" ht="15" customHeight="1">
      <c r="A178" s="75" t="s">
        <v>984</v>
      </c>
      <c r="B178" s="138" t="s">
        <v>14</v>
      </c>
      <c r="C178" s="118" t="s">
        <v>0</v>
      </c>
      <c r="D178" s="220">
        <f>11469*(100%+20%)</f>
        <v>13762.8</v>
      </c>
      <c r="E178" s="221">
        <f>13093*(100%+20%)</f>
        <v>15711.599999999999</v>
      </c>
      <c r="F178" s="221">
        <f>15894*(100%+20%)</f>
        <v>19072.8</v>
      </c>
      <c r="G178" s="222">
        <f>15894*(100%+20%)</f>
        <v>19072.8</v>
      </c>
      <c r="H178" s="220">
        <f>14628*(100%+20%)</f>
        <v>17553.6</v>
      </c>
      <c r="I178" s="221">
        <f>16253*(100%+20%)</f>
        <v>19503.6</v>
      </c>
      <c r="J178" s="221">
        <f>19055*(100%+20%)</f>
        <v>22866</v>
      </c>
      <c r="K178" s="223">
        <f>19055*(100%+20%)</f>
        <v>22866</v>
      </c>
      <c r="L178" s="69"/>
      <c r="M178" s="44"/>
    </row>
    <row r="179" spans="1:13" ht="15" customHeight="1">
      <c r="A179" s="75" t="s">
        <v>985</v>
      </c>
      <c r="B179" s="138" t="s">
        <v>15</v>
      </c>
      <c r="C179" s="118" t="s">
        <v>0</v>
      </c>
      <c r="D179" s="220">
        <f>10635*(100%+20%)</f>
        <v>12762</v>
      </c>
      <c r="E179" s="221">
        <f>12167*(100%+20%)</f>
        <v>14600.4</v>
      </c>
      <c r="F179" s="221">
        <f>14810*(100%+20%)</f>
        <v>17772</v>
      </c>
      <c r="G179" s="222">
        <f>14810*(100%+20%)</f>
        <v>17772</v>
      </c>
      <c r="H179" s="220">
        <f>13796*(100%+20%)</f>
        <v>16555.2</v>
      </c>
      <c r="I179" s="221">
        <f>15328*(100%+20%)</f>
        <v>18393.6</v>
      </c>
      <c r="J179" s="221">
        <f>17970*(100%+20%)</f>
        <v>21564</v>
      </c>
      <c r="K179" s="223">
        <f>17970*(100%+20%)</f>
        <v>21564</v>
      </c>
      <c r="L179" s="69"/>
      <c r="M179" s="44"/>
    </row>
    <row r="180" spans="1:13" ht="15" customHeight="1">
      <c r="A180" s="90"/>
      <c r="B180" s="138" t="s">
        <v>1436</v>
      </c>
      <c r="C180" s="118" t="s">
        <v>0</v>
      </c>
      <c r="D180" s="220">
        <f>5599*(100%+20%)</f>
        <v>6718.8</v>
      </c>
      <c r="E180" s="221">
        <f>6571*(100%+20%)</f>
        <v>7885.2</v>
      </c>
      <c r="F180" s="221">
        <f>8248*(100%+20%)</f>
        <v>9897.6</v>
      </c>
      <c r="G180" s="222">
        <f>8248*(100%+20%)</f>
        <v>9897.6</v>
      </c>
      <c r="H180" s="220">
        <f>8759*(100%+20%)</f>
        <v>10510.8</v>
      </c>
      <c r="I180" s="221">
        <f>9732*(100%+20%)</f>
        <v>11678.4</v>
      </c>
      <c r="J180" s="221">
        <f>11408*(100%+20%)</f>
        <v>13689.6</v>
      </c>
      <c r="K180" s="223">
        <f>11408*(100%+20%)</f>
        <v>13689.6</v>
      </c>
      <c r="L180" s="69"/>
      <c r="M180" s="44"/>
    </row>
    <row r="181" spans="1:13" ht="15" customHeight="1">
      <c r="A181" s="74" t="s">
        <v>986</v>
      </c>
      <c r="B181" s="138" t="s">
        <v>8</v>
      </c>
      <c r="C181" s="118" t="s">
        <v>9</v>
      </c>
      <c r="D181" s="220">
        <f>8279*(100%+20%)</f>
        <v>9934.8</v>
      </c>
      <c r="E181" s="221">
        <f>8279*(100%+20%)</f>
        <v>9934.8</v>
      </c>
      <c r="F181" s="221">
        <f>9968*(100%+20%)</f>
        <v>11961.6</v>
      </c>
      <c r="G181" s="222">
        <f>9968*(100%+20%)</f>
        <v>11961.6</v>
      </c>
      <c r="H181" s="220">
        <f>9796*(100%+20%)</f>
        <v>11755.199999999999</v>
      </c>
      <c r="I181" s="221">
        <f>9796*(100%+20%)</f>
        <v>11755.199999999999</v>
      </c>
      <c r="J181" s="221">
        <f>11485*(100%+20%)</f>
        <v>13782</v>
      </c>
      <c r="K181" s="223">
        <f>11485*(100%+20%)</f>
        <v>13782</v>
      </c>
      <c r="L181" s="69"/>
      <c r="M181" s="44"/>
    </row>
    <row r="182" spans="1:13" ht="15" customHeight="1">
      <c r="A182" s="74" t="s">
        <v>987</v>
      </c>
      <c r="B182" s="138" t="s">
        <v>10</v>
      </c>
      <c r="C182" s="118" t="s">
        <v>9</v>
      </c>
      <c r="D182" s="220">
        <f>4213*(100%+20%)</f>
        <v>5055.599999999999</v>
      </c>
      <c r="E182" s="221">
        <f>4213*(100%+20%)</f>
        <v>5055.599999999999</v>
      </c>
      <c r="F182" s="221">
        <f>5200*(100%+20%)</f>
        <v>6240</v>
      </c>
      <c r="G182" s="222">
        <f>5200*(100%+20%)</f>
        <v>6240</v>
      </c>
      <c r="H182" s="220">
        <f>5729*(100%+20%)</f>
        <v>6874.8</v>
      </c>
      <c r="I182" s="221">
        <f>5729*(100%+20%)</f>
        <v>6874.8</v>
      </c>
      <c r="J182" s="221">
        <f>6718*(100%+20%)</f>
        <v>8061.599999999999</v>
      </c>
      <c r="K182" s="223">
        <f>6718*(100%+20%)</f>
        <v>8061.599999999999</v>
      </c>
      <c r="L182" s="69"/>
      <c r="M182" s="44"/>
    </row>
    <row r="183" spans="1:13" ht="15" customHeight="1">
      <c r="A183" s="74" t="s">
        <v>988</v>
      </c>
      <c r="B183" s="138" t="s">
        <v>11</v>
      </c>
      <c r="C183" s="118" t="s">
        <v>9</v>
      </c>
      <c r="D183" s="220">
        <f>9065*(100%+20%)</f>
        <v>10878</v>
      </c>
      <c r="E183" s="221">
        <f>9065*(100%+20%)</f>
        <v>10878</v>
      </c>
      <c r="F183" s="221">
        <f>10888*(100%+20%)</f>
        <v>13065.6</v>
      </c>
      <c r="G183" s="222">
        <f>10888*(100%+20%)</f>
        <v>13065.6</v>
      </c>
      <c r="H183" s="220">
        <f>10582*(100%+20%)</f>
        <v>12698.4</v>
      </c>
      <c r="I183" s="221">
        <f>10582*(100%+20%)</f>
        <v>12698.4</v>
      </c>
      <c r="J183" s="221">
        <f>12405*(100%+20%)</f>
        <v>14886</v>
      </c>
      <c r="K183" s="223">
        <f>12405*(100%+20%)</f>
        <v>14886</v>
      </c>
      <c r="L183" s="69"/>
      <c r="M183" s="44"/>
    </row>
    <row r="184" spans="1:13" ht="15" customHeight="1">
      <c r="A184" s="74" t="s">
        <v>989</v>
      </c>
      <c r="B184" s="138" t="s">
        <v>61</v>
      </c>
      <c r="C184" s="118" t="s">
        <v>0</v>
      </c>
      <c r="D184" s="220">
        <f>6015*(100%+20%)</f>
        <v>7218</v>
      </c>
      <c r="E184" s="221">
        <f>7033*(100%+20%)</f>
        <v>8439.6</v>
      </c>
      <c r="F184" s="221">
        <f>8791*(100%+20%)</f>
        <v>10549.199999999999</v>
      </c>
      <c r="G184" s="222">
        <f>8791*(100%+20%)</f>
        <v>10549.199999999999</v>
      </c>
      <c r="H184" s="220">
        <f>9175*(100%+20%)</f>
        <v>11010</v>
      </c>
      <c r="I184" s="221">
        <f>10193*(100%+20%)</f>
        <v>12231.6</v>
      </c>
      <c r="J184" s="221">
        <f>11951*(100%+20%)</f>
        <v>14341.199999999999</v>
      </c>
      <c r="K184" s="223">
        <f>11951*(100%+20%)</f>
        <v>14341.199999999999</v>
      </c>
      <c r="L184" s="69"/>
      <c r="M184" s="44"/>
    </row>
    <row r="185" spans="1:13" ht="15" customHeight="1" thickBot="1">
      <c r="A185" s="79" t="s">
        <v>990</v>
      </c>
      <c r="B185" s="139" t="s">
        <v>17</v>
      </c>
      <c r="C185" s="119" t="s">
        <v>9</v>
      </c>
      <c r="D185" s="228">
        <f>1485*(100%+20%)</f>
        <v>1782</v>
      </c>
      <c r="E185" s="229">
        <f>1485*(100%+20%)</f>
        <v>1782</v>
      </c>
      <c r="F185" s="229">
        <f>2002*(100%+20%)</f>
        <v>2402.4</v>
      </c>
      <c r="G185" s="230">
        <f>2002*(100%+20%)</f>
        <v>2402.4</v>
      </c>
      <c r="H185" s="228">
        <f>3002*(100%+20%)</f>
        <v>3602.4</v>
      </c>
      <c r="I185" s="229">
        <f>3002*(100%+20%)</f>
        <v>3602.4</v>
      </c>
      <c r="J185" s="229">
        <f>3520*(100%+20%)</f>
        <v>4224</v>
      </c>
      <c r="K185" s="231">
        <f>3520*(100%+20%)</f>
        <v>4224</v>
      </c>
      <c r="L185" s="69"/>
      <c r="M185" s="44"/>
    </row>
    <row r="186" spans="1:11" ht="21" customHeight="1" thickBot="1">
      <c r="A186" s="18"/>
      <c r="B186" s="319" t="s">
        <v>21</v>
      </c>
      <c r="C186" s="320"/>
      <c r="D186" s="323"/>
      <c r="E186" s="323"/>
      <c r="F186" s="323"/>
      <c r="G186" s="323"/>
      <c r="H186" s="323"/>
      <c r="I186" s="323"/>
      <c r="J186" s="323"/>
      <c r="K186" s="324"/>
    </row>
    <row r="187" spans="1:11" ht="15" customHeight="1" thickBot="1">
      <c r="A187" s="18"/>
      <c r="B187" s="314" t="s">
        <v>2</v>
      </c>
      <c r="C187" s="312" t="s">
        <v>1379</v>
      </c>
      <c r="D187" s="316" t="s">
        <v>845</v>
      </c>
      <c r="E187" s="317"/>
      <c r="F187" s="317"/>
      <c r="G187" s="318"/>
      <c r="H187" s="316" t="s">
        <v>846</v>
      </c>
      <c r="I187" s="317"/>
      <c r="J187" s="317"/>
      <c r="K187" s="318"/>
    </row>
    <row r="188" spans="1:11" ht="15" customHeight="1" thickBot="1">
      <c r="A188" s="18"/>
      <c r="B188" s="364"/>
      <c r="C188" s="313"/>
      <c r="D188" s="106" t="s">
        <v>847</v>
      </c>
      <c r="E188" s="105" t="s">
        <v>4</v>
      </c>
      <c r="F188" s="103" t="s">
        <v>5</v>
      </c>
      <c r="G188" s="105" t="s">
        <v>1420</v>
      </c>
      <c r="H188" s="103" t="s">
        <v>847</v>
      </c>
      <c r="I188" s="105" t="s">
        <v>4</v>
      </c>
      <c r="J188" s="103" t="s">
        <v>5</v>
      </c>
      <c r="K188" s="105" t="s">
        <v>1420</v>
      </c>
    </row>
    <row r="189" spans="1:13" ht="15" customHeight="1">
      <c r="A189" s="20" t="s">
        <v>991</v>
      </c>
      <c r="B189" s="137" t="s">
        <v>60</v>
      </c>
      <c r="C189" s="117" t="s">
        <v>0</v>
      </c>
      <c r="D189" s="216">
        <f>6499*(100%+20%)</f>
        <v>7798.799999999999</v>
      </c>
      <c r="E189" s="232">
        <f>7572*(100%+20%)</f>
        <v>9086.4</v>
      </c>
      <c r="F189" s="217">
        <f>9422*(100%+20%)</f>
        <v>11306.4</v>
      </c>
      <c r="G189" s="233">
        <f>9422*(100%+20%)</f>
        <v>11306.4</v>
      </c>
      <c r="H189" s="216">
        <f>9659*(100%+20%)</f>
        <v>11590.8</v>
      </c>
      <c r="I189" s="232">
        <f>10733*(100%+20%)</f>
        <v>12879.6</v>
      </c>
      <c r="J189" s="217">
        <f>12583*(100%+20%)</f>
        <v>15099.599999999999</v>
      </c>
      <c r="K189" s="234">
        <f>12583*(100%+20%)</f>
        <v>15099.599999999999</v>
      </c>
      <c r="L189" s="69"/>
      <c r="M189" s="44"/>
    </row>
    <row r="190" spans="1:13" ht="15" customHeight="1">
      <c r="A190" s="21" t="s">
        <v>992</v>
      </c>
      <c r="B190" s="138" t="s">
        <v>6</v>
      </c>
      <c r="C190" s="118" t="s">
        <v>0</v>
      </c>
      <c r="D190" s="220">
        <f>5621*(100%+20%)</f>
        <v>6745.2</v>
      </c>
      <c r="E190" s="221">
        <f>6595*(100%+20%)</f>
        <v>7914</v>
      </c>
      <c r="F190" s="221">
        <f>8277*(100%+20%)</f>
        <v>9932.4</v>
      </c>
      <c r="G190" s="222">
        <f>8277*(100%+20%)</f>
        <v>9932.4</v>
      </c>
      <c r="H190" s="220">
        <f>8781*(100%+20%)</f>
        <v>10537.199999999999</v>
      </c>
      <c r="I190" s="221">
        <f>9756*(100%+20%)</f>
        <v>11707.199999999999</v>
      </c>
      <c r="J190" s="221">
        <f>11438*(100%+20%)</f>
        <v>13725.6</v>
      </c>
      <c r="K190" s="223">
        <f>11438*(100%+20%)</f>
        <v>13725.6</v>
      </c>
      <c r="L190" s="69"/>
      <c r="M190" s="44"/>
    </row>
    <row r="191" spans="1:13" ht="15" customHeight="1">
      <c r="A191" s="21" t="s">
        <v>993</v>
      </c>
      <c r="B191" s="138" t="s">
        <v>7</v>
      </c>
      <c r="C191" s="118" t="s">
        <v>0</v>
      </c>
      <c r="D191" s="220">
        <f>8118*(100%+20%)</f>
        <v>9741.6</v>
      </c>
      <c r="E191" s="221">
        <f>9371*(100%+20%)</f>
        <v>11245.199999999999</v>
      </c>
      <c r="F191" s="221">
        <f>11531*(100%+20%)</f>
        <v>13837.199999999999</v>
      </c>
      <c r="G191" s="222">
        <f>11531*(100%+20%)</f>
        <v>13837.199999999999</v>
      </c>
      <c r="H191" s="220">
        <f>11278*(100%+20%)</f>
        <v>13533.6</v>
      </c>
      <c r="I191" s="221">
        <f>12531*(100%+20%)</f>
        <v>15037.199999999999</v>
      </c>
      <c r="J191" s="221">
        <f>14691*(100%+20%)</f>
        <v>17629.2</v>
      </c>
      <c r="K191" s="223">
        <f>14691*(100%+20%)</f>
        <v>17629.2</v>
      </c>
      <c r="L191" s="69"/>
      <c r="M191" s="44"/>
    </row>
    <row r="192" spans="1:13" ht="15" customHeight="1">
      <c r="A192" s="21" t="s">
        <v>994</v>
      </c>
      <c r="B192" s="138" t="s">
        <v>763</v>
      </c>
      <c r="C192" s="118" t="s">
        <v>0</v>
      </c>
      <c r="D192" s="220">
        <f>8118*(100%+20%)</f>
        <v>9741.6</v>
      </c>
      <c r="E192" s="221">
        <f>9371*(100%+20%)</f>
        <v>11245.199999999999</v>
      </c>
      <c r="F192" s="221">
        <f>11531*(100%+20%)</f>
        <v>13837.199999999999</v>
      </c>
      <c r="G192" s="222">
        <f>11531*(100%+20%)</f>
        <v>13837.199999999999</v>
      </c>
      <c r="H192" s="220">
        <f>11278*(100%+20%)</f>
        <v>13533.6</v>
      </c>
      <c r="I192" s="221">
        <f>12531*(100%+20%)</f>
        <v>15037.199999999999</v>
      </c>
      <c r="J192" s="221">
        <f>14691*(100%+20%)</f>
        <v>17629.2</v>
      </c>
      <c r="K192" s="223">
        <f>14691*(100%+20%)</f>
        <v>17629.2</v>
      </c>
      <c r="L192" s="69"/>
      <c r="M192" s="44"/>
    </row>
    <row r="193" spans="1:13" ht="15" customHeight="1">
      <c r="A193" s="21" t="s">
        <v>995</v>
      </c>
      <c r="B193" s="138" t="s">
        <v>8</v>
      </c>
      <c r="C193" s="118" t="s">
        <v>9</v>
      </c>
      <c r="D193" s="220">
        <f>8795*(100%+20%)</f>
        <v>10554</v>
      </c>
      <c r="E193" s="221">
        <f>8795*(100%+20%)</f>
        <v>10554</v>
      </c>
      <c r="F193" s="221">
        <f>10572*(100%+20%)</f>
        <v>12686.4</v>
      </c>
      <c r="G193" s="222">
        <f>10572*(100%+20%)</f>
        <v>12686.4</v>
      </c>
      <c r="H193" s="220">
        <f>10311*(100%+20%)</f>
        <v>12373.199999999999</v>
      </c>
      <c r="I193" s="221">
        <f>10311*(100%+20%)</f>
        <v>12373.199999999999</v>
      </c>
      <c r="J193" s="221">
        <f>12088*(100%+20%)</f>
        <v>14505.6</v>
      </c>
      <c r="K193" s="223">
        <f>12088*(100%+20%)</f>
        <v>14505.6</v>
      </c>
      <c r="L193" s="69"/>
      <c r="M193" s="44"/>
    </row>
    <row r="194" spans="1:13" ht="15" customHeight="1">
      <c r="A194" s="21" t="s">
        <v>996</v>
      </c>
      <c r="B194" s="138" t="s">
        <v>10</v>
      </c>
      <c r="C194" s="118" t="s">
        <v>9</v>
      </c>
      <c r="D194" s="220">
        <f>4515*(100%+20%)</f>
        <v>5418</v>
      </c>
      <c r="E194" s="221">
        <f>4515*(100%+20%)</f>
        <v>5418</v>
      </c>
      <c r="F194" s="221">
        <f>5556*(100%+20%)</f>
        <v>6667.2</v>
      </c>
      <c r="G194" s="222">
        <f>5556*(100%+20%)</f>
        <v>6667.2</v>
      </c>
      <c r="H194" s="220">
        <f>6032*(100%+20%)</f>
        <v>7238.4</v>
      </c>
      <c r="I194" s="221">
        <f>6032*(100%+20%)</f>
        <v>7238.4</v>
      </c>
      <c r="J194" s="221">
        <f>7073*(100%+20%)</f>
        <v>8487.6</v>
      </c>
      <c r="K194" s="223">
        <f>7073*(100%+20%)</f>
        <v>8487.6</v>
      </c>
      <c r="L194" s="69"/>
      <c r="M194" s="44"/>
    </row>
    <row r="195" spans="1:13" ht="15" customHeight="1">
      <c r="A195" s="21" t="s">
        <v>997</v>
      </c>
      <c r="B195" s="138" t="s">
        <v>11</v>
      </c>
      <c r="C195" s="118" t="s">
        <v>9</v>
      </c>
      <c r="D195" s="220">
        <f>9622*(100%+20%)</f>
        <v>11546.4</v>
      </c>
      <c r="E195" s="221">
        <f>9622*(100%+20%)</f>
        <v>11546.4</v>
      </c>
      <c r="F195" s="221">
        <f>11541*(100%+20%)</f>
        <v>13849.199999999999</v>
      </c>
      <c r="G195" s="222">
        <f>11541*(100%+20%)</f>
        <v>13849.199999999999</v>
      </c>
      <c r="H195" s="220">
        <f>11139*(100%+20%)</f>
        <v>13366.8</v>
      </c>
      <c r="I195" s="221">
        <f>11139*(100%+20%)</f>
        <v>13366.8</v>
      </c>
      <c r="J195" s="221">
        <f>13058*(100%+20%)</f>
        <v>15669.599999999999</v>
      </c>
      <c r="K195" s="223">
        <f>13058*(100%+20%)</f>
        <v>15669.599999999999</v>
      </c>
      <c r="L195" s="69"/>
      <c r="M195" s="44"/>
    </row>
    <row r="196" spans="1:13" ht="15" customHeight="1" thickBot="1">
      <c r="A196" s="45" t="s">
        <v>998</v>
      </c>
      <c r="B196" s="139" t="s">
        <v>61</v>
      </c>
      <c r="C196" s="119" t="s">
        <v>0</v>
      </c>
      <c r="D196" s="228">
        <f>6499*(100%+20%)</f>
        <v>7798.799999999999</v>
      </c>
      <c r="E196" s="229">
        <f>7572*(100%+20%)</f>
        <v>9086.4</v>
      </c>
      <c r="F196" s="229">
        <f>9422*(100%+20%)</f>
        <v>11306.4</v>
      </c>
      <c r="G196" s="230">
        <f>9422*(100%+20%)</f>
        <v>11306.4</v>
      </c>
      <c r="H196" s="228">
        <f>9659*(100%+20%)</f>
        <v>11590.8</v>
      </c>
      <c r="I196" s="229">
        <f>10733*(100%+20%)</f>
        <v>12879.6</v>
      </c>
      <c r="J196" s="229">
        <f>12583*(100%+20%)</f>
        <v>15099.599999999999</v>
      </c>
      <c r="K196" s="231">
        <f>12583*(100%+20%)</f>
        <v>15099.599999999999</v>
      </c>
      <c r="L196" s="69"/>
      <c r="M196" s="44"/>
    </row>
    <row r="197" spans="1:11" ht="21" customHeight="1" thickBot="1">
      <c r="A197" s="18"/>
      <c r="B197" s="319" t="s">
        <v>195</v>
      </c>
      <c r="C197" s="320"/>
      <c r="D197" s="323"/>
      <c r="E197" s="323"/>
      <c r="F197" s="323"/>
      <c r="G197" s="323"/>
      <c r="H197" s="323"/>
      <c r="I197" s="323"/>
      <c r="J197" s="323"/>
      <c r="K197" s="324"/>
    </row>
    <row r="198" spans="1:11" ht="15" customHeight="1" thickBot="1">
      <c r="A198" s="18"/>
      <c r="B198" s="314" t="s">
        <v>2</v>
      </c>
      <c r="C198" s="312" t="s">
        <v>1379</v>
      </c>
      <c r="D198" s="316" t="s">
        <v>845</v>
      </c>
      <c r="E198" s="317"/>
      <c r="F198" s="317"/>
      <c r="G198" s="318"/>
      <c r="H198" s="316" t="s">
        <v>846</v>
      </c>
      <c r="I198" s="317"/>
      <c r="J198" s="317"/>
      <c r="K198" s="318"/>
    </row>
    <row r="199" spans="1:11" ht="15" customHeight="1" thickBot="1">
      <c r="A199" s="18"/>
      <c r="B199" s="364"/>
      <c r="C199" s="313"/>
      <c r="D199" s="106" t="s">
        <v>847</v>
      </c>
      <c r="E199" s="105" t="s">
        <v>4</v>
      </c>
      <c r="F199" s="105" t="s">
        <v>5</v>
      </c>
      <c r="G199" s="105" t="s">
        <v>1420</v>
      </c>
      <c r="H199" s="103" t="s">
        <v>847</v>
      </c>
      <c r="I199" s="105" t="s">
        <v>4</v>
      </c>
      <c r="J199" s="103" t="s">
        <v>5</v>
      </c>
      <c r="K199" s="105" t="s">
        <v>1420</v>
      </c>
    </row>
    <row r="200" spans="1:13" ht="15" customHeight="1">
      <c r="A200" s="37" t="s">
        <v>999</v>
      </c>
      <c r="B200" s="137" t="s">
        <v>60</v>
      </c>
      <c r="C200" s="122" t="s">
        <v>0</v>
      </c>
      <c r="D200" s="216">
        <f>5861*(100%+20%)</f>
        <v>7033.2</v>
      </c>
      <c r="E200" s="217">
        <f>6862*(100%+20%)</f>
        <v>8234.4</v>
      </c>
      <c r="F200" s="150" t="s">
        <v>159</v>
      </c>
      <c r="G200" s="152" t="s">
        <v>159</v>
      </c>
      <c r="H200" s="216">
        <f>9022*(100%+20%)</f>
        <v>10826.4</v>
      </c>
      <c r="I200" s="233">
        <f>10023*(100%+20%)</f>
        <v>12027.6</v>
      </c>
      <c r="J200" s="149" t="s">
        <v>159</v>
      </c>
      <c r="K200" s="152" t="s">
        <v>159</v>
      </c>
      <c r="L200" s="69"/>
      <c r="M200" s="44"/>
    </row>
    <row r="201" spans="1:13" ht="15" customHeight="1">
      <c r="A201" s="38" t="s">
        <v>1000</v>
      </c>
      <c r="B201" s="138" t="s">
        <v>6</v>
      </c>
      <c r="C201" s="120" t="s">
        <v>0</v>
      </c>
      <c r="D201" s="220">
        <f>5041*(100%+20%)</f>
        <v>6049.2</v>
      </c>
      <c r="E201" s="221">
        <f>5952*(100%+20%)</f>
        <v>7142.4</v>
      </c>
      <c r="F201" s="154" t="s">
        <v>159</v>
      </c>
      <c r="G201" s="156" t="s">
        <v>159</v>
      </c>
      <c r="H201" s="220">
        <f>8200*(100%+20%)</f>
        <v>9840</v>
      </c>
      <c r="I201" s="222">
        <f>9112*(100%+20%)</f>
        <v>10934.4</v>
      </c>
      <c r="J201" s="153" t="s">
        <v>159</v>
      </c>
      <c r="K201" s="156" t="s">
        <v>159</v>
      </c>
      <c r="L201" s="69"/>
      <c r="M201" s="44"/>
    </row>
    <row r="202" spans="1:13" ht="15" customHeight="1">
      <c r="A202" s="38" t="s">
        <v>1001</v>
      </c>
      <c r="B202" s="138" t="s">
        <v>7</v>
      </c>
      <c r="C202" s="120" t="s">
        <v>0</v>
      </c>
      <c r="D202" s="220">
        <f>7374*(100%+20%)</f>
        <v>8848.8</v>
      </c>
      <c r="E202" s="221">
        <f>8545*(100%+20%)</f>
        <v>10254</v>
      </c>
      <c r="F202" s="154" t="s">
        <v>159</v>
      </c>
      <c r="G202" s="156" t="s">
        <v>159</v>
      </c>
      <c r="H202" s="220">
        <f>10535*(100%+20%)</f>
        <v>12642</v>
      </c>
      <c r="I202" s="222">
        <f>11705*(100%+20%)</f>
        <v>14046</v>
      </c>
      <c r="J202" s="153" t="s">
        <v>159</v>
      </c>
      <c r="K202" s="156" t="s">
        <v>159</v>
      </c>
      <c r="L202" s="69"/>
      <c r="M202" s="44"/>
    </row>
    <row r="203" spans="1:13" ht="15" customHeight="1">
      <c r="A203" s="38" t="s">
        <v>1002</v>
      </c>
      <c r="B203" s="138" t="s">
        <v>763</v>
      </c>
      <c r="C203" s="120" t="s">
        <v>0</v>
      </c>
      <c r="D203" s="220">
        <f>7374*(100%+20%)</f>
        <v>8848.8</v>
      </c>
      <c r="E203" s="221">
        <f>8545*(100%+20%)</f>
        <v>10254</v>
      </c>
      <c r="F203" s="154" t="s">
        <v>159</v>
      </c>
      <c r="G203" s="156" t="s">
        <v>159</v>
      </c>
      <c r="H203" s="220">
        <f>10535*(100%+20%)</f>
        <v>12642</v>
      </c>
      <c r="I203" s="222">
        <f>11705*(100%+20%)</f>
        <v>14046</v>
      </c>
      <c r="J203" s="153" t="s">
        <v>159</v>
      </c>
      <c r="K203" s="156" t="s">
        <v>159</v>
      </c>
      <c r="L203" s="69"/>
      <c r="M203" s="44"/>
    </row>
    <row r="204" spans="1:13" ht="15" customHeight="1">
      <c r="A204" s="38" t="s">
        <v>1003</v>
      </c>
      <c r="B204" s="138" t="s">
        <v>8</v>
      </c>
      <c r="C204" s="120" t="s">
        <v>9</v>
      </c>
      <c r="D204" s="220">
        <f>8539*(100%+20%)</f>
        <v>10246.8</v>
      </c>
      <c r="E204" s="221">
        <f>8539*(100%+20%)</f>
        <v>10246.8</v>
      </c>
      <c r="F204" s="154" t="s">
        <v>159</v>
      </c>
      <c r="G204" s="156" t="s">
        <v>159</v>
      </c>
      <c r="H204" s="220">
        <f>10055*(100%+20%)</f>
        <v>12066</v>
      </c>
      <c r="I204" s="222">
        <f>10055*(100%+20%)</f>
        <v>12066</v>
      </c>
      <c r="J204" s="153" t="s">
        <v>159</v>
      </c>
      <c r="K204" s="156" t="s">
        <v>159</v>
      </c>
      <c r="L204" s="69"/>
      <c r="M204" s="44"/>
    </row>
    <row r="205" spans="1:13" ht="15" customHeight="1">
      <c r="A205" s="38" t="s">
        <v>1004</v>
      </c>
      <c r="B205" s="138" t="s">
        <v>10</v>
      </c>
      <c r="C205" s="120" t="s">
        <v>9</v>
      </c>
      <c r="D205" s="220">
        <f>4360*(100%+20%)</f>
        <v>5232</v>
      </c>
      <c r="E205" s="221">
        <f>4360*(100%+20%)</f>
        <v>5232</v>
      </c>
      <c r="F205" s="154" t="s">
        <v>159</v>
      </c>
      <c r="G205" s="156" t="s">
        <v>159</v>
      </c>
      <c r="H205" s="220">
        <f>5878*(100%+20%)</f>
        <v>7053.599999999999</v>
      </c>
      <c r="I205" s="222">
        <f>5878*(100%+20%)</f>
        <v>7053.599999999999</v>
      </c>
      <c r="J205" s="153" t="s">
        <v>159</v>
      </c>
      <c r="K205" s="156" t="s">
        <v>159</v>
      </c>
      <c r="L205" s="69"/>
      <c r="M205" s="44"/>
    </row>
    <row r="206" spans="1:13" ht="15" customHeight="1">
      <c r="A206" s="38" t="s">
        <v>1005</v>
      </c>
      <c r="B206" s="138" t="s">
        <v>11</v>
      </c>
      <c r="C206" s="120" t="s">
        <v>9</v>
      </c>
      <c r="D206" s="220">
        <f>9347*(100%+20%)</f>
        <v>11216.4</v>
      </c>
      <c r="E206" s="221">
        <f>9347*(100%+20%)</f>
        <v>11216.4</v>
      </c>
      <c r="F206" s="154" t="s">
        <v>159</v>
      </c>
      <c r="G206" s="156" t="s">
        <v>159</v>
      </c>
      <c r="H206" s="220">
        <f>10865*(100%+20%)</f>
        <v>13038</v>
      </c>
      <c r="I206" s="222">
        <f>10865*(100%+20%)</f>
        <v>13038</v>
      </c>
      <c r="J206" s="153" t="s">
        <v>159</v>
      </c>
      <c r="K206" s="156" t="s">
        <v>159</v>
      </c>
      <c r="L206" s="69"/>
      <c r="M206" s="44"/>
    </row>
    <row r="207" spans="1:13" ht="15" customHeight="1" thickBot="1">
      <c r="A207" s="45" t="s">
        <v>1006</v>
      </c>
      <c r="B207" s="139" t="s">
        <v>61</v>
      </c>
      <c r="C207" s="115" t="s">
        <v>0</v>
      </c>
      <c r="D207" s="228">
        <f>5861*(100%+20%)</f>
        <v>7033.2</v>
      </c>
      <c r="E207" s="229">
        <f>6862*(100%+20%)</f>
        <v>8234.4</v>
      </c>
      <c r="F207" s="158" t="s">
        <v>159</v>
      </c>
      <c r="G207" s="160" t="s">
        <v>159</v>
      </c>
      <c r="H207" s="228">
        <f>9022*(100%+20%)</f>
        <v>10826.4</v>
      </c>
      <c r="I207" s="230">
        <f>10023*(100%+20%)</f>
        <v>12027.6</v>
      </c>
      <c r="J207" s="157" t="s">
        <v>159</v>
      </c>
      <c r="K207" s="160" t="s">
        <v>159</v>
      </c>
      <c r="L207" s="69"/>
      <c r="M207" s="44"/>
    </row>
    <row r="208" spans="1:11" ht="21" customHeight="1" thickBot="1">
      <c r="A208" s="18"/>
      <c r="B208" s="319" t="s">
        <v>741</v>
      </c>
      <c r="C208" s="320"/>
      <c r="D208" s="321"/>
      <c r="E208" s="321"/>
      <c r="F208" s="321"/>
      <c r="G208" s="321"/>
      <c r="H208" s="323"/>
      <c r="I208" s="323"/>
      <c r="J208" s="323"/>
      <c r="K208" s="324"/>
    </row>
    <row r="209" spans="1:11" ht="15" customHeight="1" thickBot="1">
      <c r="A209" s="18"/>
      <c r="B209" s="314" t="s">
        <v>2</v>
      </c>
      <c r="C209" s="312" t="s">
        <v>1379</v>
      </c>
      <c r="D209" s="316" t="s">
        <v>845</v>
      </c>
      <c r="E209" s="317"/>
      <c r="F209" s="317"/>
      <c r="G209" s="318"/>
      <c r="H209" s="316" t="s">
        <v>846</v>
      </c>
      <c r="I209" s="317"/>
      <c r="J209" s="317"/>
      <c r="K209" s="318"/>
    </row>
    <row r="210" spans="1:11" ht="15" customHeight="1" thickBot="1">
      <c r="A210" s="18"/>
      <c r="B210" s="364"/>
      <c r="C210" s="313"/>
      <c r="D210" s="106" t="s">
        <v>847</v>
      </c>
      <c r="E210" s="105" t="s">
        <v>4</v>
      </c>
      <c r="F210" s="103" t="s">
        <v>5</v>
      </c>
      <c r="G210" s="105" t="s">
        <v>1420</v>
      </c>
      <c r="H210" s="103" t="s">
        <v>847</v>
      </c>
      <c r="I210" s="105" t="s">
        <v>4</v>
      </c>
      <c r="J210" s="103" t="s">
        <v>5</v>
      </c>
      <c r="K210" s="105" t="s">
        <v>1420</v>
      </c>
    </row>
    <row r="211" spans="1:13" ht="15" customHeight="1">
      <c r="A211" s="20" t="s">
        <v>1007</v>
      </c>
      <c r="B211" s="137" t="s">
        <v>60</v>
      </c>
      <c r="C211" s="122" t="s">
        <v>0</v>
      </c>
      <c r="D211" s="216">
        <f>5861*(100%+20%)</f>
        <v>7033.2</v>
      </c>
      <c r="E211" s="232">
        <f>6862*(100%+20%)</f>
        <v>8234.4</v>
      </c>
      <c r="F211" s="217">
        <f>8592*(100%+20%)</f>
        <v>10310.4</v>
      </c>
      <c r="G211" s="233">
        <f>8592*(100%+20%)</f>
        <v>10310.4</v>
      </c>
      <c r="H211" s="216">
        <f>9022*(100%+20%)</f>
        <v>10826.4</v>
      </c>
      <c r="I211" s="232">
        <f>10023*(100%+20%)</f>
        <v>12027.6</v>
      </c>
      <c r="J211" s="217">
        <f>11751*(100%+20%)</f>
        <v>14101.199999999999</v>
      </c>
      <c r="K211" s="234">
        <f>11751*(100%+20%)</f>
        <v>14101.199999999999</v>
      </c>
      <c r="L211" s="69"/>
      <c r="M211" s="44"/>
    </row>
    <row r="212" spans="1:13" ht="15" customHeight="1">
      <c r="A212" s="21" t="s">
        <v>1008</v>
      </c>
      <c r="B212" s="138" t="s">
        <v>6</v>
      </c>
      <c r="C212" s="120" t="s">
        <v>0</v>
      </c>
      <c r="D212" s="220">
        <f>5041*(100%+20%)</f>
        <v>6049.2</v>
      </c>
      <c r="E212" s="221">
        <f>5952*(100%+20%)</f>
        <v>7142.4</v>
      </c>
      <c r="F212" s="221">
        <f>7523*(100%+20%)</f>
        <v>9027.6</v>
      </c>
      <c r="G212" s="222">
        <f>7523*(100%+20%)</f>
        <v>9027.6</v>
      </c>
      <c r="H212" s="220">
        <f>8200*(100%+20%)</f>
        <v>9840</v>
      </c>
      <c r="I212" s="221">
        <f>9112*(100%+20%)</f>
        <v>10934.4</v>
      </c>
      <c r="J212" s="221">
        <f>10683*(100%+20%)</f>
        <v>12819.6</v>
      </c>
      <c r="K212" s="223">
        <f>10683*(100%+20%)</f>
        <v>12819.6</v>
      </c>
      <c r="L212" s="69"/>
      <c r="M212" s="44"/>
    </row>
    <row r="213" spans="1:13" ht="15" customHeight="1">
      <c r="A213" s="21" t="s">
        <v>1009</v>
      </c>
      <c r="B213" s="138" t="s">
        <v>7</v>
      </c>
      <c r="C213" s="120" t="s">
        <v>0</v>
      </c>
      <c r="D213" s="220">
        <f>7374*(100%+20%)</f>
        <v>8848.8</v>
      </c>
      <c r="E213" s="221">
        <f>8545*(100%+20%)</f>
        <v>10254</v>
      </c>
      <c r="F213" s="221">
        <f>10561*(100%+20%)</f>
        <v>12673.199999999999</v>
      </c>
      <c r="G213" s="222">
        <f>10561*(100%+20%)</f>
        <v>12673.199999999999</v>
      </c>
      <c r="H213" s="220">
        <f>10535*(100%+20%)</f>
        <v>12642</v>
      </c>
      <c r="I213" s="221">
        <f>11705*(100%+20%)</f>
        <v>14046</v>
      </c>
      <c r="J213" s="221">
        <f>13722*(100%+20%)</f>
        <v>16466.399999999998</v>
      </c>
      <c r="K213" s="223">
        <f>13722*(100%+20%)</f>
        <v>16466.399999999998</v>
      </c>
      <c r="L213" s="69"/>
      <c r="M213" s="44"/>
    </row>
    <row r="214" spans="1:13" ht="15" customHeight="1">
      <c r="A214" s="21" t="s">
        <v>1010</v>
      </c>
      <c r="B214" s="138" t="s">
        <v>763</v>
      </c>
      <c r="C214" s="120" t="s">
        <v>0</v>
      </c>
      <c r="D214" s="220">
        <f>7374*(100%+20%)</f>
        <v>8848.8</v>
      </c>
      <c r="E214" s="221">
        <f>8545*(100%+20%)</f>
        <v>10254</v>
      </c>
      <c r="F214" s="221">
        <f>10561*(100%+20%)</f>
        <v>12673.199999999999</v>
      </c>
      <c r="G214" s="222">
        <f>10561*(100%+20%)</f>
        <v>12673.199999999999</v>
      </c>
      <c r="H214" s="220">
        <f>10535*(100%+20%)</f>
        <v>12642</v>
      </c>
      <c r="I214" s="221">
        <f>11705*(100%+20%)</f>
        <v>14046</v>
      </c>
      <c r="J214" s="221">
        <f>13722*(100%+20%)</f>
        <v>16466.399999999998</v>
      </c>
      <c r="K214" s="223">
        <f>13722*(100%+20%)</f>
        <v>16466.399999999998</v>
      </c>
      <c r="L214" s="69"/>
      <c r="M214" s="44"/>
    </row>
    <row r="215" spans="1:13" ht="15" customHeight="1">
      <c r="A215" s="21"/>
      <c r="B215" s="138" t="s">
        <v>1436</v>
      </c>
      <c r="C215" s="120" t="s">
        <v>0</v>
      </c>
      <c r="D215" s="220">
        <f>5451*(100%+20%)</f>
        <v>6541.2</v>
      </c>
      <c r="E215" s="221">
        <f>6408*(100%+20%)</f>
        <v>7689.599999999999</v>
      </c>
      <c r="F215" s="221">
        <f>8058*(100%+20%)</f>
        <v>9669.6</v>
      </c>
      <c r="G215" s="222">
        <f>8058*(100%+20%)</f>
        <v>9669.6</v>
      </c>
      <c r="H215" s="220">
        <f>8611*(100%+20%)</f>
        <v>10333.199999999999</v>
      </c>
      <c r="I215" s="221">
        <f>9568*(100%+20%)</f>
        <v>11481.6</v>
      </c>
      <c r="J215" s="221">
        <f>11218*(100%+20%)</f>
        <v>13461.6</v>
      </c>
      <c r="K215" s="223">
        <f>11218*(100%+20%)</f>
        <v>13461.6</v>
      </c>
      <c r="L215" s="69"/>
      <c r="M215" s="44"/>
    </row>
    <row r="216" spans="1:13" ht="15" customHeight="1">
      <c r="A216" s="21" t="s">
        <v>1011</v>
      </c>
      <c r="B216" s="138" t="s">
        <v>8</v>
      </c>
      <c r="C216" s="120" t="s">
        <v>9</v>
      </c>
      <c r="D216" s="220">
        <f>8539*(100%+20%)</f>
        <v>10246.8</v>
      </c>
      <c r="E216" s="221">
        <f>8539*(100%+20%)</f>
        <v>10246.8</v>
      </c>
      <c r="F216" s="221">
        <f>10272*(100%+20%)</f>
        <v>12326.4</v>
      </c>
      <c r="G216" s="222">
        <f>10272*(100%+20%)</f>
        <v>12326.4</v>
      </c>
      <c r="H216" s="220">
        <f>10055*(100%+20%)</f>
        <v>12066</v>
      </c>
      <c r="I216" s="221">
        <f>10055*(100%+20%)</f>
        <v>12066</v>
      </c>
      <c r="J216" s="221">
        <f>11788*(100%+20%)</f>
        <v>14145.6</v>
      </c>
      <c r="K216" s="223">
        <f>11788*(100%+20%)</f>
        <v>14145.6</v>
      </c>
      <c r="L216" s="69"/>
      <c r="M216" s="44"/>
    </row>
    <row r="217" spans="1:13" ht="15" customHeight="1">
      <c r="A217" s="28" t="s">
        <v>1012</v>
      </c>
      <c r="B217" s="138" t="s">
        <v>10</v>
      </c>
      <c r="C217" s="120" t="s">
        <v>9</v>
      </c>
      <c r="D217" s="220">
        <f>4360*(100%+20%)</f>
        <v>5232</v>
      </c>
      <c r="E217" s="221">
        <f>4360*(100%+20%)</f>
        <v>5232</v>
      </c>
      <c r="F217" s="221">
        <f>5375*(100%+20%)</f>
        <v>6450</v>
      </c>
      <c r="G217" s="222">
        <f>5375*(100%+20%)</f>
        <v>6450</v>
      </c>
      <c r="H217" s="220">
        <f>5878*(100%+20%)</f>
        <v>7053.599999999999</v>
      </c>
      <c r="I217" s="221">
        <f>5878*(100%+20%)</f>
        <v>7053.599999999999</v>
      </c>
      <c r="J217" s="221">
        <f>6892*(100%+20%)</f>
        <v>8270.4</v>
      </c>
      <c r="K217" s="223">
        <f>6892*(100%+20%)</f>
        <v>8270.4</v>
      </c>
      <c r="L217" s="69"/>
      <c r="M217" s="44"/>
    </row>
    <row r="218" spans="1:13" ht="15" customHeight="1">
      <c r="A218" s="21" t="s">
        <v>1013</v>
      </c>
      <c r="B218" s="138" t="s">
        <v>11</v>
      </c>
      <c r="C218" s="120" t="s">
        <v>9</v>
      </c>
      <c r="D218" s="220">
        <f>9347*(100%+20%)</f>
        <v>11216.4</v>
      </c>
      <c r="E218" s="221">
        <f>9347*(100%+20%)</f>
        <v>11216.4</v>
      </c>
      <c r="F218" s="221">
        <f>11220*(100%+20%)</f>
        <v>13464</v>
      </c>
      <c r="G218" s="222">
        <f>11220*(100%+20%)</f>
        <v>13464</v>
      </c>
      <c r="H218" s="220">
        <f>10865*(100%+20%)</f>
        <v>13038</v>
      </c>
      <c r="I218" s="221">
        <f>10865*(100%+20%)</f>
        <v>13038</v>
      </c>
      <c r="J218" s="221">
        <f>12737*(100%+20%)</f>
        <v>15284.4</v>
      </c>
      <c r="K218" s="223">
        <f>12737*(100%+20%)</f>
        <v>15284.4</v>
      </c>
      <c r="L218" s="69"/>
      <c r="M218" s="44"/>
    </row>
    <row r="219" spans="1:13" ht="15" customHeight="1">
      <c r="A219" s="23"/>
      <c r="B219" s="138" t="s">
        <v>1386</v>
      </c>
      <c r="C219" s="123" t="s">
        <v>0</v>
      </c>
      <c r="D219" s="220">
        <f>5861*(100%+20%)</f>
        <v>7033.2</v>
      </c>
      <c r="E219" s="221">
        <f>6862*(100%+20%)</f>
        <v>8234.4</v>
      </c>
      <c r="F219" s="221">
        <f>8592*(100%+20%)</f>
        <v>10310.4</v>
      </c>
      <c r="G219" s="222">
        <f>8592*(100%+20%)</f>
        <v>10310.4</v>
      </c>
      <c r="H219" s="220">
        <f>9022*(100%+20%)</f>
        <v>10826.4</v>
      </c>
      <c r="I219" s="221">
        <f>10023*(100%+20%)</f>
        <v>12027.6</v>
      </c>
      <c r="J219" s="221">
        <f>11751*(100%+20%)</f>
        <v>14101.199999999999</v>
      </c>
      <c r="K219" s="223">
        <f>11751*(100%+20%)</f>
        <v>14101.199999999999</v>
      </c>
      <c r="L219" s="69"/>
      <c r="M219" s="44"/>
    </row>
    <row r="220" spans="1:13" ht="15" customHeight="1" thickBot="1">
      <c r="A220" s="24" t="s">
        <v>1014</v>
      </c>
      <c r="B220" s="140" t="s">
        <v>61</v>
      </c>
      <c r="C220" s="124" t="s">
        <v>0</v>
      </c>
      <c r="D220" s="228">
        <f>5861*(100%+20%)</f>
        <v>7033.2</v>
      </c>
      <c r="E220" s="229">
        <f>6862*(100%+20%)</f>
        <v>8234.4</v>
      </c>
      <c r="F220" s="229">
        <f>8592*(100%+20%)</f>
        <v>10310.4</v>
      </c>
      <c r="G220" s="230">
        <f>8592*(100%+20%)</f>
        <v>10310.4</v>
      </c>
      <c r="H220" s="228">
        <f>9022*(100%+20%)</f>
        <v>10826.4</v>
      </c>
      <c r="I220" s="229">
        <f>10023*(100%+20%)</f>
        <v>12027.6</v>
      </c>
      <c r="J220" s="229">
        <f>11751*(100%+20%)</f>
        <v>14101.199999999999</v>
      </c>
      <c r="K220" s="231">
        <f>11751*(100%+20%)</f>
        <v>14101.199999999999</v>
      </c>
      <c r="L220" s="69"/>
      <c r="M220" s="44"/>
    </row>
    <row r="221" spans="1:11" ht="21" customHeight="1" thickBot="1">
      <c r="A221" s="18"/>
      <c r="B221" s="319" t="s">
        <v>742</v>
      </c>
      <c r="C221" s="320"/>
      <c r="D221" s="323"/>
      <c r="E221" s="323"/>
      <c r="F221" s="323"/>
      <c r="G221" s="323"/>
      <c r="H221" s="323"/>
      <c r="I221" s="323"/>
      <c r="J221" s="323"/>
      <c r="K221" s="324"/>
    </row>
    <row r="222" spans="1:11" ht="15" customHeight="1" thickBot="1">
      <c r="A222" s="18"/>
      <c r="B222" s="314" t="s">
        <v>2</v>
      </c>
      <c r="C222" s="312" t="s">
        <v>1379</v>
      </c>
      <c r="D222" s="316" t="s">
        <v>845</v>
      </c>
      <c r="E222" s="317"/>
      <c r="F222" s="317"/>
      <c r="G222" s="318"/>
      <c r="H222" s="316" t="s">
        <v>846</v>
      </c>
      <c r="I222" s="317"/>
      <c r="J222" s="317"/>
      <c r="K222" s="318"/>
    </row>
    <row r="223" spans="1:11" ht="15" customHeight="1" thickBot="1">
      <c r="A223" s="18"/>
      <c r="B223" s="364"/>
      <c r="C223" s="313"/>
      <c r="D223" s="110" t="s">
        <v>847</v>
      </c>
      <c r="E223" s="107" t="s">
        <v>4</v>
      </c>
      <c r="F223" s="173" t="s">
        <v>5</v>
      </c>
      <c r="G223" s="107" t="s">
        <v>1420</v>
      </c>
      <c r="H223" s="173" t="s">
        <v>847</v>
      </c>
      <c r="I223" s="107" t="s">
        <v>4</v>
      </c>
      <c r="J223" s="173" t="s">
        <v>5</v>
      </c>
      <c r="K223" s="107" t="s">
        <v>1420</v>
      </c>
    </row>
    <row r="224" spans="1:13" ht="15" customHeight="1">
      <c r="A224" s="20" t="s">
        <v>1015</v>
      </c>
      <c r="B224" s="137" t="s">
        <v>60</v>
      </c>
      <c r="C224" s="117" t="s">
        <v>0</v>
      </c>
      <c r="D224" s="149" t="s">
        <v>159</v>
      </c>
      <c r="E224" s="217">
        <f>7572*(100%+20%)</f>
        <v>9086.4</v>
      </c>
      <c r="F224" s="150" t="s">
        <v>159</v>
      </c>
      <c r="G224" s="151" t="s">
        <v>159</v>
      </c>
      <c r="H224" s="149" t="s">
        <v>159</v>
      </c>
      <c r="I224" s="217">
        <f>10733*(100%+20%)</f>
        <v>12879.6</v>
      </c>
      <c r="J224" s="150" t="s">
        <v>159</v>
      </c>
      <c r="K224" s="152" t="s">
        <v>159</v>
      </c>
      <c r="L224" s="69"/>
      <c r="M224" s="44"/>
    </row>
    <row r="225" spans="1:13" ht="15" customHeight="1">
      <c r="A225" s="21" t="s">
        <v>1016</v>
      </c>
      <c r="B225" s="138" t="s">
        <v>6</v>
      </c>
      <c r="C225" s="118" t="s">
        <v>0</v>
      </c>
      <c r="D225" s="153" t="s">
        <v>159</v>
      </c>
      <c r="E225" s="221">
        <f>6595*(100%+20%)</f>
        <v>7914</v>
      </c>
      <c r="F225" s="154" t="s">
        <v>159</v>
      </c>
      <c r="G225" s="155" t="s">
        <v>159</v>
      </c>
      <c r="H225" s="153" t="s">
        <v>159</v>
      </c>
      <c r="I225" s="221">
        <f>9756*(100%+20%)</f>
        <v>11707.199999999999</v>
      </c>
      <c r="J225" s="154" t="s">
        <v>159</v>
      </c>
      <c r="K225" s="156" t="s">
        <v>159</v>
      </c>
      <c r="L225" s="69"/>
      <c r="M225" s="44"/>
    </row>
    <row r="226" spans="1:13" ht="15" customHeight="1">
      <c r="A226" s="21" t="s">
        <v>1017</v>
      </c>
      <c r="B226" s="138" t="s">
        <v>7</v>
      </c>
      <c r="C226" s="118" t="s">
        <v>0</v>
      </c>
      <c r="D226" s="153" t="s">
        <v>159</v>
      </c>
      <c r="E226" s="221">
        <f>9371*(100%+20%)</f>
        <v>11245.199999999999</v>
      </c>
      <c r="F226" s="154" t="s">
        <v>159</v>
      </c>
      <c r="G226" s="155" t="s">
        <v>159</v>
      </c>
      <c r="H226" s="153" t="s">
        <v>159</v>
      </c>
      <c r="I226" s="221">
        <f>12531*(100%+20%)</f>
        <v>15037.199999999999</v>
      </c>
      <c r="J226" s="154" t="s">
        <v>159</v>
      </c>
      <c r="K226" s="156" t="s">
        <v>159</v>
      </c>
      <c r="L226" s="69"/>
      <c r="M226" s="44"/>
    </row>
    <row r="227" spans="1:13" ht="15" customHeight="1">
      <c r="A227" s="28" t="s">
        <v>1018</v>
      </c>
      <c r="B227" s="141" t="s">
        <v>61</v>
      </c>
      <c r="C227" s="118" t="s">
        <v>0</v>
      </c>
      <c r="D227" s="153" t="s">
        <v>159</v>
      </c>
      <c r="E227" s="221">
        <f>7572*(100%+20%)</f>
        <v>9086.4</v>
      </c>
      <c r="F227" s="154" t="s">
        <v>159</v>
      </c>
      <c r="G227" s="155" t="s">
        <v>159</v>
      </c>
      <c r="H227" s="153" t="s">
        <v>159</v>
      </c>
      <c r="I227" s="221">
        <f>10733*(100%+20%)</f>
        <v>12879.6</v>
      </c>
      <c r="J227" s="154" t="s">
        <v>159</v>
      </c>
      <c r="K227" s="156" t="s">
        <v>159</v>
      </c>
      <c r="L227" s="69"/>
      <c r="M227" s="44"/>
    </row>
    <row r="228" spans="1:13" ht="15" customHeight="1">
      <c r="A228" s="28" t="s">
        <v>1019</v>
      </c>
      <c r="B228" s="142" t="s">
        <v>855</v>
      </c>
      <c r="C228" s="118" t="s">
        <v>30</v>
      </c>
      <c r="D228" s="153" t="s">
        <v>159</v>
      </c>
      <c r="E228" s="221">
        <f>986*(100%+20%)</f>
        <v>1183.2</v>
      </c>
      <c r="F228" s="154" t="s">
        <v>159</v>
      </c>
      <c r="G228" s="155" t="s">
        <v>159</v>
      </c>
      <c r="H228" s="153" t="s">
        <v>159</v>
      </c>
      <c r="I228" s="221">
        <f>1304*(100%+20%)</f>
        <v>1564.8</v>
      </c>
      <c r="J228" s="154" t="s">
        <v>159</v>
      </c>
      <c r="K228" s="156" t="s">
        <v>159</v>
      </c>
      <c r="L228" s="69"/>
      <c r="M228" s="44"/>
    </row>
    <row r="229" spans="1:13" ht="15" customHeight="1">
      <c r="A229" s="28" t="s">
        <v>1020</v>
      </c>
      <c r="B229" s="141" t="s">
        <v>856</v>
      </c>
      <c r="C229" s="118" t="s">
        <v>9</v>
      </c>
      <c r="D229" s="153" t="s">
        <v>159</v>
      </c>
      <c r="E229" s="221">
        <f>235*(100%+20%)</f>
        <v>282</v>
      </c>
      <c r="F229" s="154" t="s">
        <v>159</v>
      </c>
      <c r="G229" s="155" t="s">
        <v>159</v>
      </c>
      <c r="H229" s="153" t="s">
        <v>159</v>
      </c>
      <c r="I229" s="221">
        <f>362*(100%+20%)</f>
        <v>434.4</v>
      </c>
      <c r="J229" s="154" t="s">
        <v>159</v>
      </c>
      <c r="K229" s="156" t="s">
        <v>159</v>
      </c>
      <c r="L229" s="69"/>
      <c r="M229" s="44"/>
    </row>
    <row r="230" spans="1:13" ht="15" customHeight="1" thickBot="1">
      <c r="A230" s="32" t="s">
        <v>1021</v>
      </c>
      <c r="B230" s="132" t="s">
        <v>857</v>
      </c>
      <c r="C230" s="119" t="s">
        <v>30</v>
      </c>
      <c r="D230" s="157" t="s">
        <v>159</v>
      </c>
      <c r="E230" s="229">
        <f>488*(100%+20%)</f>
        <v>585.6</v>
      </c>
      <c r="F230" s="158" t="s">
        <v>159</v>
      </c>
      <c r="G230" s="159" t="s">
        <v>159</v>
      </c>
      <c r="H230" s="157" t="s">
        <v>159</v>
      </c>
      <c r="I230" s="229">
        <f>742*(100%+20%)</f>
        <v>890.4</v>
      </c>
      <c r="J230" s="158" t="s">
        <v>159</v>
      </c>
      <c r="K230" s="160" t="s">
        <v>159</v>
      </c>
      <c r="L230" s="69"/>
      <c r="M230" s="44"/>
    </row>
    <row r="231" spans="1:11" ht="21" customHeight="1" thickBot="1">
      <c r="A231" s="18"/>
      <c r="B231" s="319" t="s">
        <v>2194</v>
      </c>
      <c r="C231" s="320"/>
      <c r="D231" s="321"/>
      <c r="E231" s="321"/>
      <c r="F231" s="321"/>
      <c r="G231" s="321"/>
      <c r="H231" s="321"/>
      <c r="I231" s="321"/>
      <c r="J231" s="321"/>
      <c r="K231" s="322"/>
    </row>
    <row r="232" spans="1:11" ht="15" customHeight="1" thickBot="1">
      <c r="A232" s="18"/>
      <c r="B232" s="314" t="s">
        <v>2</v>
      </c>
      <c r="C232" s="312" t="s">
        <v>1379</v>
      </c>
      <c r="D232" s="316" t="s">
        <v>845</v>
      </c>
      <c r="E232" s="317"/>
      <c r="F232" s="317"/>
      <c r="G232" s="318"/>
      <c r="H232" s="316" t="s">
        <v>846</v>
      </c>
      <c r="I232" s="317"/>
      <c r="J232" s="317"/>
      <c r="K232" s="318"/>
    </row>
    <row r="233" spans="1:11" ht="15" customHeight="1" thickBot="1">
      <c r="A233" s="18"/>
      <c r="B233" s="364"/>
      <c r="C233" s="313"/>
      <c r="D233" s="106" t="s">
        <v>847</v>
      </c>
      <c r="E233" s="105" t="s">
        <v>4</v>
      </c>
      <c r="F233" s="103" t="s">
        <v>5</v>
      </c>
      <c r="G233" s="105" t="s">
        <v>1420</v>
      </c>
      <c r="H233" s="103" t="s">
        <v>847</v>
      </c>
      <c r="I233" s="105" t="s">
        <v>4</v>
      </c>
      <c r="J233" s="103" t="s">
        <v>5</v>
      </c>
      <c r="K233" s="105" t="s">
        <v>1420</v>
      </c>
    </row>
    <row r="234" spans="1:13" ht="15" customHeight="1">
      <c r="A234" s="20" t="s">
        <v>1022</v>
      </c>
      <c r="B234" s="137" t="s">
        <v>60</v>
      </c>
      <c r="C234" s="117" t="s">
        <v>0</v>
      </c>
      <c r="D234" s="216">
        <f>6499*(100%+20%)</f>
        <v>7798.799999999999</v>
      </c>
      <c r="E234" s="232">
        <f>7572*(100%+20%)</f>
        <v>9086.4</v>
      </c>
      <c r="F234" s="154" t="s">
        <v>159</v>
      </c>
      <c r="G234" s="154" t="s">
        <v>159</v>
      </c>
      <c r="H234" s="216">
        <f>9659*(100%+20%)</f>
        <v>11590.8</v>
      </c>
      <c r="I234" s="217">
        <f>10733*(100%+20%)</f>
        <v>12879.6</v>
      </c>
      <c r="J234" s="150" t="s">
        <v>159</v>
      </c>
      <c r="K234" s="152" t="s">
        <v>159</v>
      </c>
      <c r="L234" s="69"/>
      <c r="M234" s="44"/>
    </row>
    <row r="235" spans="1:13" ht="15" customHeight="1">
      <c r="A235" s="21" t="s">
        <v>1023</v>
      </c>
      <c r="B235" s="138" t="s">
        <v>6</v>
      </c>
      <c r="C235" s="118" t="s">
        <v>0</v>
      </c>
      <c r="D235" s="220">
        <f>5621*(100%+20%)</f>
        <v>6745.2</v>
      </c>
      <c r="E235" s="221">
        <f>6595*(100%+20%)</f>
        <v>7914</v>
      </c>
      <c r="F235" s="154" t="s">
        <v>159</v>
      </c>
      <c r="G235" s="154" t="s">
        <v>159</v>
      </c>
      <c r="H235" s="220">
        <f>8781*(100%+20%)</f>
        <v>10537.199999999999</v>
      </c>
      <c r="I235" s="221">
        <f>9756*(100%+20%)</f>
        <v>11707.199999999999</v>
      </c>
      <c r="J235" s="154" t="s">
        <v>159</v>
      </c>
      <c r="K235" s="156" t="s">
        <v>159</v>
      </c>
      <c r="L235" s="69"/>
      <c r="M235" s="44"/>
    </row>
    <row r="236" spans="1:13" ht="15" customHeight="1">
      <c r="A236" s="21" t="s">
        <v>1024</v>
      </c>
      <c r="B236" s="138" t="s">
        <v>7</v>
      </c>
      <c r="C236" s="118" t="s">
        <v>0</v>
      </c>
      <c r="D236" s="220">
        <f>8118*(100%+20%)</f>
        <v>9741.6</v>
      </c>
      <c r="E236" s="221">
        <f>9371*(100%+20%)</f>
        <v>11245.199999999999</v>
      </c>
      <c r="F236" s="154" t="s">
        <v>159</v>
      </c>
      <c r="G236" s="154" t="s">
        <v>159</v>
      </c>
      <c r="H236" s="220">
        <f>11278*(100%+20%)</f>
        <v>13533.6</v>
      </c>
      <c r="I236" s="221">
        <f>12531*(100%+20%)</f>
        <v>15037.199999999999</v>
      </c>
      <c r="J236" s="154" t="s">
        <v>159</v>
      </c>
      <c r="K236" s="156" t="s">
        <v>159</v>
      </c>
      <c r="L236" s="69"/>
      <c r="M236" s="44"/>
    </row>
    <row r="237" spans="1:13" ht="15" customHeight="1">
      <c r="A237" s="21" t="s">
        <v>1025</v>
      </c>
      <c r="B237" s="138" t="s">
        <v>763</v>
      </c>
      <c r="C237" s="118" t="s">
        <v>0</v>
      </c>
      <c r="D237" s="220">
        <f>8118*(100%+20%)</f>
        <v>9741.6</v>
      </c>
      <c r="E237" s="221">
        <f>9371*(100%+20%)</f>
        <v>11245.199999999999</v>
      </c>
      <c r="F237" s="154" t="s">
        <v>159</v>
      </c>
      <c r="G237" s="154" t="s">
        <v>159</v>
      </c>
      <c r="H237" s="220">
        <f>11278*(100%+20%)</f>
        <v>13533.6</v>
      </c>
      <c r="I237" s="221">
        <f>12531*(100%+20%)</f>
        <v>15037.199999999999</v>
      </c>
      <c r="J237" s="154" t="s">
        <v>159</v>
      </c>
      <c r="K237" s="156" t="s">
        <v>159</v>
      </c>
      <c r="L237" s="69"/>
      <c r="M237" s="44"/>
    </row>
    <row r="238" spans="1:13" ht="15" customHeight="1">
      <c r="A238" s="21" t="s">
        <v>1026</v>
      </c>
      <c r="B238" s="138" t="s">
        <v>8</v>
      </c>
      <c r="C238" s="118" t="s">
        <v>9</v>
      </c>
      <c r="D238" s="220">
        <f>8795*(100%+20%)</f>
        <v>10554</v>
      </c>
      <c r="E238" s="221">
        <f>8795*(100%+20%)</f>
        <v>10554</v>
      </c>
      <c r="F238" s="154" t="s">
        <v>159</v>
      </c>
      <c r="G238" s="154" t="s">
        <v>159</v>
      </c>
      <c r="H238" s="220">
        <f>10311*(100%+20%)</f>
        <v>12373.199999999999</v>
      </c>
      <c r="I238" s="221">
        <f>10311*(100%+20%)</f>
        <v>12373.199999999999</v>
      </c>
      <c r="J238" s="154" t="s">
        <v>159</v>
      </c>
      <c r="K238" s="156" t="s">
        <v>159</v>
      </c>
      <c r="L238" s="69"/>
      <c r="M238" s="44"/>
    </row>
    <row r="239" spans="1:13" ht="15" customHeight="1">
      <c r="A239" s="21" t="s">
        <v>1027</v>
      </c>
      <c r="B239" s="138" t="s">
        <v>10</v>
      </c>
      <c r="C239" s="118" t="s">
        <v>9</v>
      </c>
      <c r="D239" s="220">
        <f>4515*(100%+20%)</f>
        <v>5418</v>
      </c>
      <c r="E239" s="221">
        <f>4515*(100%+20%)</f>
        <v>5418</v>
      </c>
      <c r="F239" s="154" t="s">
        <v>159</v>
      </c>
      <c r="G239" s="154" t="s">
        <v>159</v>
      </c>
      <c r="H239" s="220">
        <f>6032*(100%+20%)</f>
        <v>7238.4</v>
      </c>
      <c r="I239" s="221">
        <f>6032*(100%+20%)</f>
        <v>7238.4</v>
      </c>
      <c r="J239" s="154" t="s">
        <v>159</v>
      </c>
      <c r="K239" s="156" t="s">
        <v>159</v>
      </c>
      <c r="L239" s="69"/>
      <c r="M239" s="44"/>
    </row>
    <row r="240" spans="1:13" ht="15" customHeight="1">
      <c r="A240" s="21" t="s">
        <v>1028</v>
      </c>
      <c r="B240" s="138" t="s">
        <v>11</v>
      </c>
      <c r="C240" s="118" t="s">
        <v>9</v>
      </c>
      <c r="D240" s="220">
        <f>9622*(100%+20%)</f>
        <v>11546.4</v>
      </c>
      <c r="E240" s="221">
        <f>9622*(100%+20%)</f>
        <v>11546.4</v>
      </c>
      <c r="F240" s="154" t="s">
        <v>159</v>
      </c>
      <c r="G240" s="154" t="s">
        <v>159</v>
      </c>
      <c r="H240" s="220">
        <f>11139*(100%+20%)</f>
        <v>13366.8</v>
      </c>
      <c r="I240" s="221">
        <f>11139*(100%+20%)</f>
        <v>13366.8</v>
      </c>
      <c r="J240" s="154" t="s">
        <v>159</v>
      </c>
      <c r="K240" s="156" t="s">
        <v>159</v>
      </c>
      <c r="L240" s="69"/>
      <c r="M240" s="44"/>
    </row>
    <row r="241" spans="1:13" ht="15" customHeight="1">
      <c r="A241" s="21" t="s">
        <v>1029</v>
      </c>
      <c r="B241" s="138" t="s">
        <v>61</v>
      </c>
      <c r="C241" s="118" t="s">
        <v>0</v>
      </c>
      <c r="D241" s="220">
        <f>6499*(100%+20%)</f>
        <v>7798.799999999999</v>
      </c>
      <c r="E241" s="221">
        <f>7572*(100%+20%)</f>
        <v>9086.4</v>
      </c>
      <c r="F241" s="154" t="s">
        <v>159</v>
      </c>
      <c r="G241" s="154" t="s">
        <v>159</v>
      </c>
      <c r="H241" s="220">
        <f>9659*(100%+20%)</f>
        <v>11590.8</v>
      </c>
      <c r="I241" s="221">
        <f>10733*(100%+20%)</f>
        <v>12879.6</v>
      </c>
      <c r="J241" s="154" t="s">
        <v>159</v>
      </c>
      <c r="K241" s="156" t="s">
        <v>159</v>
      </c>
      <c r="L241" s="69"/>
      <c r="M241" s="44"/>
    </row>
    <row r="242" spans="1:13" ht="15" customHeight="1">
      <c r="A242" s="51" t="s">
        <v>1030</v>
      </c>
      <c r="B242" s="138" t="s">
        <v>17</v>
      </c>
      <c r="C242" s="118" t="s">
        <v>9</v>
      </c>
      <c r="D242" s="220">
        <f>1643*(100%+20%)</f>
        <v>1971.6</v>
      </c>
      <c r="E242" s="221">
        <f>1643*(100%+20%)</f>
        <v>1971.6</v>
      </c>
      <c r="F242" s="154" t="s">
        <v>159</v>
      </c>
      <c r="G242" s="154" t="s">
        <v>159</v>
      </c>
      <c r="H242" s="220">
        <f>3160*(100%+20%)</f>
        <v>3792</v>
      </c>
      <c r="I242" s="221">
        <f>3160*(100%+20%)</f>
        <v>3792</v>
      </c>
      <c r="J242" s="154" t="s">
        <v>159</v>
      </c>
      <c r="K242" s="156" t="s">
        <v>159</v>
      </c>
      <c r="L242" s="69"/>
      <c r="M242" s="44"/>
    </row>
    <row r="243" spans="1:13" ht="15" customHeight="1" thickBot="1">
      <c r="A243" s="52" t="s">
        <v>1031</v>
      </c>
      <c r="B243" s="139" t="s">
        <v>757</v>
      </c>
      <c r="C243" s="119" t="s">
        <v>9</v>
      </c>
      <c r="D243" s="228">
        <f>8223*(100%+20%)</f>
        <v>9867.6</v>
      </c>
      <c r="E243" s="229">
        <f>9197*(100%+20%)</f>
        <v>11036.4</v>
      </c>
      <c r="F243" s="154" t="s">
        <v>159</v>
      </c>
      <c r="G243" s="154" t="s">
        <v>159</v>
      </c>
      <c r="H243" s="228">
        <f>11382*(100%+20%)</f>
        <v>13658.4</v>
      </c>
      <c r="I243" s="229">
        <f>12358*(100%+20%)</f>
        <v>14829.599999999999</v>
      </c>
      <c r="J243" s="158" t="s">
        <v>159</v>
      </c>
      <c r="K243" s="160" t="s">
        <v>159</v>
      </c>
      <c r="L243" s="69"/>
      <c r="M243" s="44"/>
    </row>
    <row r="244" spans="2:11" ht="21" customHeight="1" thickBot="1">
      <c r="B244" s="319" t="s">
        <v>127</v>
      </c>
      <c r="C244" s="320"/>
      <c r="D244" s="323"/>
      <c r="E244" s="323"/>
      <c r="F244" s="323"/>
      <c r="G244" s="323"/>
      <c r="H244" s="323"/>
      <c r="I244" s="323"/>
      <c r="J244" s="323"/>
      <c r="K244" s="324"/>
    </row>
    <row r="245" spans="2:11" ht="15" customHeight="1" thickBot="1">
      <c r="B245" s="314" t="s">
        <v>2</v>
      </c>
      <c r="C245" s="312" t="s">
        <v>1379</v>
      </c>
      <c r="D245" s="316" t="s">
        <v>845</v>
      </c>
      <c r="E245" s="317"/>
      <c r="F245" s="317"/>
      <c r="G245" s="318"/>
      <c r="H245" s="316" t="s">
        <v>846</v>
      </c>
      <c r="I245" s="317"/>
      <c r="J245" s="317"/>
      <c r="K245" s="318"/>
    </row>
    <row r="246" spans="2:11" ht="15" customHeight="1" thickBot="1">
      <c r="B246" s="364"/>
      <c r="C246" s="313"/>
      <c r="D246" s="106" t="s">
        <v>847</v>
      </c>
      <c r="E246" s="105" t="s">
        <v>4</v>
      </c>
      <c r="F246" s="103" t="s">
        <v>5</v>
      </c>
      <c r="G246" s="105" t="s">
        <v>1420</v>
      </c>
      <c r="H246" s="103" t="s">
        <v>847</v>
      </c>
      <c r="I246" s="105" t="s">
        <v>4</v>
      </c>
      <c r="J246" s="103" t="s">
        <v>5</v>
      </c>
      <c r="K246" s="105" t="s">
        <v>1420</v>
      </c>
    </row>
    <row r="247" spans="1:13" ht="15" customHeight="1">
      <c r="A247" s="20" t="s">
        <v>1032</v>
      </c>
      <c r="B247" s="137" t="s">
        <v>60</v>
      </c>
      <c r="C247" s="117" t="s">
        <v>0</v>
      </c>
      <c r="D247" s="216">
        <f>5081*(100%+20%)</f>
        <v>6097.2</v>
      </c>
      <c r="E247" s="232">
        <f>5996*(100%+20%)</f>
        <v>7195.2</v>
      </c>
      <c r="F247" s="217">
        <f>7574*(100%+20%)</f>
        <v>9088.8</v>
      </c>
      <c r="G247" s="233">
        <f>7574*(100%+20%)</f>
        <v>9088.8</v>
      </c>
      <c r="H247" s="216">
        <f>8241*(100%+20%)</f>
        <v>9889.199999999999</v>
      </c>
      <c r="I247" s="232">
        <f>9156*(100%+20%)</f>
        <v>10987.199999999999</v>
      </c>
      <c r="J247" s="217">
        <f>10734*(100%+20%)</f>
        <v>12880.8</v>
      </c>
      <c r="K247" s="234">
        <f>10734*(100%+20%)</f>
        <v>12880.8</v>
      </c>
      <c r="L247" s="69"/>
      <c r="M247" s="44"/>
    </row>
    <row r="248" spans="1:13" ht="15" customHeight="1">
      <c r="A248" s="21" t="s">
        <v>1033</v>
      </c>
      <c r="B248" s="138" t="s">
        <v>6</v>
      </c>
      <c r="C248" s="118" t="s">
        <v>0</v>
      </c>
      <c r="D248" s="220">
        <f>4347*(100%+20%)</f>
        <v>5216.4</v>
      </c>
      <c r="E248" s="221">
        <f>5181*(100%+20%)</f>
        <v>6217.2</v>
      </c>
      <c r="F248" s="221">
        <f>6619*(100%+20%)</f>
        <v>7942.799999999999</v>
      </c>
      <c r="G248" s="222">
        <f>6619*(100%+20%)</f>
        <v>7942.799999999999</v>
      </c>
      <c r="H248" s="220">
        <f>7507*(100%+20%)</f>
        <v>9008.4</v>
      </c>
      <c r="I248" s="221">
        <f>8341*(100%+20%)</f>
        <v>10009.199999999999</v>
      </c>
      <c r="J248" s="221">
        <f>9779*(100%+20%)</f>
        <v>11734.8</v>
      </c>
      <c r="K248" s="223">
        <f>9779*(100%+20%)</f>
        <v>11734.8</v>
      </c>
      <c r="L248" s="69"/>
      <c r="M248" s="44"/>
    </row>
    <row r="249" spans="1:13" ht="15" customHeight="1">
      <c r="A249" s="21" t="s">
        <v>1034</v>
      </c>
      <c r="B249" s="138" t="s">
        <v>7</v>
      </c>
      <c r="C249" s="118" t="s">
        <v>0</v>
      </c>
      <c r="D249" s="220">
        <f>6512*(100%+20%)</f>
        <v>7814.4</v>
      </c>
      <c r="E249" s="221">
        <f>7587*(100%+20%)</f>
        <v>9104.4</v>
      </c>
      <c r="F249" s="221">
        <f>9438*(100%+20%)</f>
        <v>11325.6</v>
      </c>
      <c r="G249" s="222">
        <f>9438*(100%+20%)</f>
        <v>11325.6</v>
      </c>
      <c r="H249" s="220">
        <f>9671*(100%+20%)</f>
        <v>11605.199999999999</v>
      </c>
      <c r="I249" s="221">
        <f>10747*(100%+20%)</f>
        <v>12896.4</v>
      </c>
      <c r="J249" s="221">
        <f>12598*(100%+20%)</f>
        <v>15117.599999999999</v>
      </c>
      <c r="K249" s="223">
        <f>12598*(100%+20%)</f>
        <v>15117.599999999999</v>
      </c>
      <c r="L249" s="69"/>
      <c r="M249" s="44"/>
    </row>
    <row r="250" spans="1:13" ht="15" customHeight="1">
      <c r="A250" s="21"/>
      <c r="B250" s="138" t="s">
        <v>1436</v>
      </c>
      <c r="C250" s="118" t="s">
        <v>0</v>
      </c>
      <c r="D250" s="220">
        <f>4715*(100%+20%)</f>
        <v>5658</v>
      </c>
      <c r="E250" s="221">
        <f>5588*(100%+20%)</f>
        <v>6705.599999999999</v>
      </c>
      <c r="F250" s="221">
        <f>7096*(100%+20%)</f>
        <v>8515.199999999999</v>
      </c>
      <c r="G250" s="222">
        <f>7096*(100%+20%)</f>
        <v>8515.199999999999</v>
      </c>
      <c r="H250" s="220">
        <f>7874*(100%+20%)</f>
        <v>9448.8</v>
      </c>
      <c r="I250" s="221">
        <f>8749*(100%+20%)</f>
        <v>10498.8</v>
      </c>
      <c r="J250" s="221">
        <f>10256*(100%+20%)</f>
        <v>12307.199999999999</v>
      </c>
      <c r="K250" s="223">
        <f>10256*(100%+20%)</f>
        <v>12307.199999999999</v>
      </c>
      <c r="L250" s="69"/>
      <c r="M250" s="44"/>
    </row>
    <row r="251" spans="1:13" ht="15" customHeight="1">
      <c r="A251" s="21" t="s">
        <v>1035</v>
      </c>
      <c r="B251" s="138" t="s">
        <v>8</v>
      </c>
      <c r="C251" s="118" t="s">
        <v>9</v>
      </c>
      <c r="D251" s="220">
        <f>7111*(100%+20%)</f>
        <v>8533.199999999999</v>
      </c>
      <c r="E251" s="221">
        <f>7111*(100%+20%)</f>
        <v>8533.199999999999</v>
      </c>
      <c r="F251" s="221">
        <f>8596*(100%+20%)</f>
        <v>10315.199999999999</v>
      </c>
      <c r="G251" s="222">
        <f>8596*(100%+20%)</f>
        <v>10315.199999999999</v>
      </c>
      <c r="H251" s="220">
        <f>8627*(100%+20%)</f>
        <v>10352.4</v>
      </c>
      <c r="I251" s="221">
        <f>8627*(100%+20%)</f>
        <v>10352.4</v>
      </c>
      <c r="J251" s="221">
        <f>10113*(100%+20%)</f>
        <v>12135.6</v>
      </c>
      <c r="K251" s="223">
        <f>10113*(100%+20%)</f>
        <v>12135.6</v>
      </c>
      <c r="L251" s="69"/>
      <c r="M251" s="44"/>
    </row>
    <row r="252" spans="1:13" ht="15" customHeight="1">
      <c r="A252" s="21" t="s">
        <v>1036</v>
      </c>
      <c r="B252" s="138" t="s">
        <v>10</v>
      </c>
      <c r="C252" s="118" t="s">
        <v>9</v>
      </c>
      <c r="D252" s="220">
        <f>3464*(100%+20%)</f>
        <v>4156.8</v>
      </c>
      <c r="E252" s="221">
        <f>3464*(100%+20%)</f>
        <v>4156.8</v>
      </c>
      <c r="F252" s="221">
        <f>4322*(100%+20%)</f>
        <v>5186.4</v>
      </c>
      <c r="G252" s="222">
        <f>4322*(100%+20%)</f>
        <v>5186.4</v>
      </c>
      <c r="H252" s="220">
        <f>4980*(100%+20%)</f>
        <v>5976</v>
      </c>
      <c r="I252" s="221">
        <f>4980*(100%+20%)</f>
        <v>5976</v>
      </c>
      <c r="J252" s="221">
        <f>5839*(100%+20%)</f>
        <v>7006.8</v>
      </c>
      <c r="K252" s="223">
        <f>5839*(100%+20%)</f>
        <v>7006.8</v>
      </c>
      <c r="L252" s="69"/>
      <c r="M252" s="44"/>
    </row>
    <row r="253" spans="1:13" ht="15" customHeight="1" thickBot="1">
      <c r="A253" s="21" t="s">
        <v>1037</v>
      </c>
      <c r="B253" s="139" t="s">
        <v>11</v>
      </c>
      <c r="C253" s="119" t="s">
        <v>9</v>
      </c>
      <c r="D253" s="220">
        <f>7798*(100%+20%)</f>
        <v>9357.6</v>
      </c>
      <c r="E253" s="221">
        <f>7798*(100%+20%)</f>
        <v>9357.6</v>
      </c>
      <c r="F253" s="221">
        <f>9403*(100%+20%)</f>
        <v>11283.6</v>
      </c>
      <c r="G253" s="222">
        <f>9403*(100%+20%)</f>
        <v>11283.6</v>
      </c>
      <c r="H253" s="220">
        <f>9315*(100%+20%)</f>
        <v>11178</v>
      </c>
      <c r="I253" s="221">
        <f>9315*(100%+20%)</f>
        <v>11178</v>
      </c>
      <c r="J253" s="221">
        <f>10921*(100%+20%)</f>
        <v>13105.199999999999</v>
      </c>
      <c r="K253" s="223">
        <f>10921*(100%+20%)</f>
        <v>13105.199999999999</v>
      </c>
      <c r="L253" s="69"/>
      <c r="M253" s="44"/>
    </row>
    <row r="254" spans="1:11" ht="13.5" customHeight="1" thickBot="1">
      <c r="A254" s="45"/>
      <c r="B254" s="289" t="s">
        <v>854</v>
      </c>
      <c r="C254" s="290"/>
      <c r="D254" s="290"/>
      <c r="E254" s="290"/>
      <c r="F254" s="290"/>
      <c r="G254" s="290"/>
      <c r="H254" s="290"/>
      <c r="I254" s="290"/>
      <c r="J254" s="290"/>
      <c r="K254" s="291"/>
    </row>
    <row r="255" spans="1:11" ht="21" customHeight="1" thickBot="1">
      <c r="A255" s="18"/>
      <c r="B255" s="319" t="s">
        <v>368</v>
      </c>
      <c r="C255" s="320"/>
      <c r="D255" s="323"/>
      <c r="E255" s="323"/>
      <c r="F255" s="323"/>
      <c r="G255" s="323"/>
      <c r="H255" s="323"/>
      <c r="I255" s="323"/>
      <c r="J255" s="323"/>
      <c r="K255" s="324"/>
    </row>
    <row r="256" spans="1:11" ht="15" customHeight="1" thickBot="1">
      <c r="A256" s="18"/>
      <c r="B256" s="314" t="s">
        <v>2</v>
      </c>
      <c r="C256" s="312" t="s">
        <v>1379</v>
      </c>
      <c r="D256" s="316" t="s">
        <v>845</v>
      </c>
      <c r="E256" s="317"/>
      <c r="F256" s="317"/>
      <c r="G256" s="318"/>
      <c r="H256" s="316" t="s">
        <v>846</v>
      </c>
      <c r="I256" s="317"/>
      <c r="J256" s="317"/>
      <c r="K256" s="318"/>
    </row>
    <row r="257" spans="1:11" ht="15" customHeight="1" thickBot="1">
      <c r="A257" s="18"/>
      <c r="B257" s="364"/>
      <c r="C257" s="313"/>
      <c r="D257" s="106" t="s">
        <v>847</v>
      </c>
      <c r="E257" s="105" t="s">
        <v>4</v>
      </c>
      <c r="F257" s="103" t="s">
        <v>5</v>
      </c>
      <c r="G257" s="105" t="s">
        <v>1420</v>
      </c>
      <c r="H257" s="103" t="s">
        <v>847</v>
      </c>
      <c r="I257" s="105" t="s">
        <v>4</v>
      </c>
      <c r="J257" s="103" t="s">
        <v>5</v>
      </c>
      <c r="K257" s="105" t="s">
        <v>1420</v>
      </c>
    </row>
    <row r="258" spans="1:13" ht="15" customHeight="1">
      <c r="A258" s="37" t="s">
        <v>1038</v>
      </c>
      <c r="B258" s="137" t="s">
        <v>60</v>
      </c>
      <c r="C258" s="117" t="s">
        <v>0</v>
      </c>
      <c r="D258" s="216">
        <f>5081*(100%+20%)</f>
        <v>6097.2</v>
      </c>
      <c r="E258" s="232">
        <f>5996*(100%+20%)</f>
        <v>7195.2</v>
      </c>
      <c r="F258" s="217">
        <f>7574*(100%+20%)</f>
        <v>9088.8</v>
      </c>
      <c r="G258" s="233">
        <f>7574*(100%+20%)</f>
        <v>9088.8</v>
      </c>
      <c r="H258" s="216">
        <f>8241*(100%+20%)</f>
        <v>9889.199999999999</v>
      </c>
      <c r="I258" s="232">
        <f>9156*(100%+20%)</f>
        <v>10987.199999999999</v>
      </c>
      <c r="J258" s="217">
        <f>10734*(100%+20%)</f>
        <v>12880.8</v>
      </c>
      <c r="K258" s="234">
        <f>10734*(100%+20%)</f>
        <v>12880.8</v>
      </c>
      <c r="L258" s="69"/>
      <c r="M258" s="44"/>
    </row>
    <row r="259" spans="1:13" ht="15" customHeight="1">
      <c r="A259" s="38" t="s">
        <v>1039</v>
      </c>
      <c r="B259" s="138" t="s">
        <v>6</v>
      </c>
      <c r="C259" s="118" t="s">
        <v>0</v>
      </c>
      <c r="D259" s="220">
        <f>4347*(100%+20%)</f>
        <v>5216.4</v>
      </c>
      <c r="E259" s="221">
        <f>5181*(100%+20%)</f>
        <v>6217.2</v>
      </c>
      <c r="F259" s="221">
        <f>6619*(100%+20%)</f>
        <v>7942.799999999999</v>
      </c>
      <c r="G259" s="222">
        <f>6619*(100%+20%)</f>
        <v>7942.799999999999</v>
      </c>
      <c r="H259" s="220">
        <f>7507*(100%+20%)</f>
        <v>9008.4</v>
      </c>
      <c r="I259" s="221">
        <f>8341*(100%+20%)</f>
        <v>10009.199999999999</v>
      </c>
      <c r="J259" s="221">
        <f>9779*(100%+20%)</f>
        <v>11734.8</v>
      </c>
      <c r="K259" s="223">
        <f>9779*(100%+20%)</f>
        <v>11734.8</v>
      </c>
      <c r="L259" s="69"/>
      <c r="M259" s="44"/>
    </row>
    <row r="260" spans="1:13" ht="15" customHeight="1">
      <c r="A260" s="38" t="s">
        <v>1040</v>
      </c>
      <c r="B260" s="138" t="s">
        <v>7</v>
      </c>
      <c r="C260" s="118" t="s">
        <v>0</v>
      </c>
      <c r="D260" s="220">
        <f>6512*(100%+20%)</f>
        <v>7814.4</v>
      </c>
      <c r="E260" s="221">
        <f>7587*(100%+20%)</f>
        <v>9104.4</v>
      </c>
      <c r="F260" s="221">
        <f>9438*(100%+20%)</f>
        <v>11325.6</v>
      </c>
      <c r="G260" s="222">
        <f>9438*(100%+20%)</f>
        <v>11325.6</v>
      </c>
      <c r="H260" s="220">
        <f>9671*(100%+20%)</f>
        <v>11605.199999999999</v>
      </c>
      <c r="I260" s="221">
        <f>10747*(100%+20%)</f>
        <v>12896.4</v>
      </c>
      <c r="J260" s="221">
        <f>12598*(100%+20%)</f>
        <v>15117.599999999999</v>
      </c>
      <c r="K260" s="223">
        <f>12598*(100%+20%)</f>
        <v>15117.599999999999</v>
      </c>
      <c r="L260" s="69"/>
      <c r="M260" s="44"/>
    </row>
    <row r="261" spans="1:13" ht="15" customHeight="1">
      <c r="A261" s="38" t="s">
        <v>1041</v>
      </c>
      <c r="B261" s="138" t="s">
        <v>763</v>
      </c>
      <c r="C261" s="118" t="s">
        <v>0</v>
      </c>
      <c r="D261" s="220">
        <f>6512*(100%+20%)</f>
        <v>7814.4</v>
      </c>
      <c r="E261" s="221">
        <f>7587*(100%+20%)</f>
        <v>9104.4</v>
      </c>
      <c r="F261" s="221">
        <f>9438*(100%+20%)</f>
        <v>11325.6</v>
      </c>
      <c r="G261" s="222">
        <f>9438*(100%+20%)</f>
        <v>11325.6</v>
      </c>
      <c r="H261" s="220">
        <f>9671*(100%+20%)</f>
        <v>11605.199999999999</v>
      </c>
      <c r="I261" s="221">
        <f>10747*(100%+20%)</f>
        <v>12896.4</v>
      </c>
      <c r="J261" s="221">
        <f>12598*(100%+20%)</f>
        <v>15117.599999999999</v>
      </c>
      <c r="K261" s="223">
        <f>12598*(100%+20%)</f>
        <v>15117.599999999999</v>
      </c>
      <c r="L261" s="69"/>
      <c r="M261" s="44"/>
    </row>
    <row r="262" spans="1:13" ht="15" customHeight="1">
      <c r="A262" s="38"/>
      <c r="B262" s="138" t="s">
        <v>1436</v>
      </c>
      <c r="C262" s="118" t="s">
        <v>0</v>
      </c>
      <c r="D262" s="220">
        <f>4715*(100%+20%)</f>
        <v>5658</v>
      </c>
      <c r="E262" s="221">
        <f>5588*(100%+20%)</f>
        <v>6705.599999999999</v>
      </c>
      <c r="F262" s="221">
        <f>7096*(100%+20%)</f>
        <v>8515.199999999999</v>
      </c>
      <c r="G262" s="222">
        <f>7096*(100%+20%)</f>
        <v>8515.199999999999</v>
      </c>
      <c r="H262" s="220">
        <f>7874*(100%+20%)</f>
        <v>9448.8</v>
      </c>
      <c r="I262" s="221">
        <f>8749*(100%+20%)</f>
        <v>10498.8</v>
      </c>
      <c r="J262" s="221">
        <f>10256*(100%+20%)</f>
        <v>12307.199999999999</v>
      </c>
      <c r="K262" s="223">
        <f>10256*(100%+20%)</f>
        <v>12307.199999999999</v>
      </c>
      <c r="L262" s="69"/>
      <c r="M262" s="44"/>
    </row>
    <row r="263" spans="1:13" ht="15" customHeight="1">
      <c r="A263" s="38" t="s">
        <v>1042</v>
      </c>
      <c r="B263" s="138" t="s">
        <v>8</v>
      </c>
      <c r="C263" s="118" t="s">
        <v>9</v>
      </c>
      <c r="D263" s="220">
        <f>7111*(100%+20%)</f>
        <v>8533.199999999999</v>
      </c>
      <c r="E263" s="221">
        <f>7111*(100%+20%)</f>
        <v>8533.199999999999</v>
      </c>
      <c r="F263" s="221">
        <f>8596*(100%+20%)</f>
        <v>10315.199999999999</v>
      </c>
      <c r="G263" s="222">
        <f>8596*(100%+20%)</f>
        <v>10315.199999999999</v>
      </c>
      <c r="H263" s="220">
        <f>8627*(100%+20%)</f>
        <v>10352.4</v>
      </c>
      <c r="I263" s="221">
        <f>8627*(100%+20%)</f>
        <v>10352.4</v>
      </c>
      <c r="J263" s="221">
        <f>10113*(100%+20%)</f>
        <v>12135.6</v>
      </c>
      <c r="K263" s="223">
        <f>10113*(100%+20%)</f>
        <v>12135.6</v>
      </c>
      <c r="L263" s="69"/>
      <c r="M263" s="44"/>
    </row>
    <row r="264" spans="1:13" ht="15" customHeight="1">
      <c r="A264" s="38" t="s">
        <v>1043</v>
      </c>
      <c r="B264" s="138" t="s">
        <v>10</v>
      </c>
      <c r="C264" s="118" t="s">
        <v>9</v>
      </c>
      <c r="D264" s="220">
        <f>3464*(100%+20%)</f>
        <v>4156.8</v>
      </c>
      <c r="E264" s="221">
        <f>3464*(100%+20%)</f>
        <v>4156.8</v>
      </c>
      <c r="F264" s="221">
        <f>4322*(100%+20%)</f>
        <v>5186.4</v>
      </c>
      <c r="G264" s="222">
        <f>4322*(100%+20%)</f>
        <v>5186.4</v>
      </c>
      <c r="H264" s="220">
        <f>4980*(100%+20%)</f>
        <v>5976</v>
      </c>
      <c r="I264" s="221">
        <f>4980*(100%+20%)</f>
        <v>5976</v>
      </c>
      <c r="J264" s="221">
        <f>5839*(100%+20%)</f>
        <v>7006.8</v>
      </c>
      <c r="K264" s="223">
        <f>5839*(100%+20%)</f>
        <v>7006.8</v>
      </c>
      <c r="L264" s="69"/>
      <c r="M264" s="44"/>
    </row>
    <row r="265" spans="1:13" ht="15" customHeight="1" thickBot="1">
      <c r="A265" s="64" t="s">
        <v>1044</v>
      </c>
      <c r="B265" s="139" t="s">
        <v>11</v>
      </c>
      <c r="C265" s="119" t="s">
        <v>9</v>
      </c>
      <c r="D265" s="228">
        <f>7798*(100%+20%)</f>
        <v>9357.6</v>
      </c>
      <c r="E265" s="229">
        <f>7798*(100%+20%)</f>
        <v>9357.6</v>
      </c>
      <c r="F265" s="229">
        <f>9403*(100%+20%)</f>
        <v>11283.6</v>
      </c>
      <c r="G265" s="230">
        <f>9403*(100%+20%)</f>
        <v>11283.6</v>
      </c>
      <c r="H265" s="228">
        <f>9315*(100%+20%)</f>
        <v>11178</v>
      </c>
      <c r="I265" s="229">
        <f>9315*(100%+20%)</f>
        <v>11178</v>
      </c>
      <c r="J265" s="229">
        <f>10921*(100%+20%)</f>
        <v>13105.199999999999</v>
      </c>
      <c r="K265" s="231">
        <f>10921*(100%+20%)</f>
        <v>13105.199999999999</v>
      </c>
      <c r="L265" s="69"/>
      <c r="M265" s="44"/>
    </row>
    <row r="266" spans="1:12" ht="13.5" customHeight="1" thickBot="1">
      <c r="A266" s="25"/>
      <c r="B266" s="292" t="s">
        <v>853</v>
      </c>
      <c r="C266" s="288"/>
      <c r="D266" s="288"/>
      <c r="E266" s="288"/>
      <c r="F266" s="288"/>
      <c r="G266" s="288"/>
      <c r="H266" s="288"/>
      <c r="I266" s="288"/>
      <c r="J266" s="288"/>
      <c r="K266" s="293"/>
      <c r="L266" s="44"/>
    </row>
    <row r="267" spans="1:11" ht="21" customHeight="1" thickBot="1">
      <c r="A267" s="18"/>
      <c r="B267" s="319" t="s">
        <v>848</v>
      </c>
      <c r="C267" s="320"/>
      <c r="D267" s="323"/>
      <c r="E267" s="323"/>
      <c r="F267" s="323"/>
      <c r="G267" s="323"/>
      <c r="H267" s="323"/>
      <c r="I267" s="323"/>
      <c r="J267" s="323"/>
      <c r="K267" s="324"/>
    </row>
    <row r="268" spans="1:11" ht="15" customHeight="1" thickBot="1">
      <c r="A268" s="18"/>
      <c r="B268" s="314" t="s">
        <v>2</v>
      </c>
      <c r="C268" s="312" t="s">
        <v>1379</v>
      </c>
      <c r="D268" s="316" t="s">
        <v>845</v>
      </c>
      <c r="E268" s="317"/>
      <c r="F268" s="317"/>
      <c r="G268" s="318"/>
      <c r="H268" s="316" t="s">
        <v>846</v>
      </c>
      <c r="I268" s="317"/>
      <c r="J268" s="317"/>
      <c r="K268" s="318"/>
    </row>
    <row r="269" spans="1:11" ht="15" customHeight="1" thickBot="1">
      <c r="A269" s="18"/>
      <c r="B269" s="364"/>
      <c r="C269" s="313"/>
      <c r="D269" s="106" t="s">
        <v>847</v>
      </c>
      <c r="E269" s="105" t="s">
        <v>4</v>
      </c>
      <c r="F269" s="103" t="s">
        <v>5</v>
      </c>
      <c r="G269" s="105" t="s">
        <v>1420</v>
      </c>
      <c r="H269" s="103" t="s">
        <v>847</v>
      </c>
      <c r="I269" s="105" t="s">
        <v>4</v>
      </c>
      <c r="J269" s="103" t="s">
        <v>5</v>
      </c>
      <c r="K269" s="105" t="s">
        <v>1420</v>
      </c>
    </row>
    <row r="270" spans="1:13" ht="15" customHeight="1">
      <c r="A270" s="37" t="s">
        <v>1045</v>
      </c>
      <c r="B270" s="137" t="s">
        <v>60</v>
      </c>
      <c r="C270" s="117" t="s">
        <v>0</v>
      </c>
      <c r="D270" s="216">
        <f>5568*(100%+20%)</f>
        <v>6681.599999999999</v>
      </c>
      <c r="E270" s="232">
        <f>6539*(100%+20%)</f>
        <v>7846.799999999999</v>
      </c>
      <c r="F270" s="217">
        <f>8210*(100%+20%)</f>
        <v>9852</v>
      </c>
      <c r="G270" s="233">
        <f>8210*(100%+20%)</f>
        <v>9852</v>
      </c>
      <c r="H270" s="216">
        <f>8729*(100%+20%)</f>
        <v>10474.8</v>
      </c>
      <c r="I270" s="232">
        <f>9700*(100%+20%)</f>
        <v>11640</v>
      </c>
      <c r="J270" s="217">
        <f>11370*(100%+20%)</f>
        <v>13644</v>
      </c>
      <c r="K270" s="234">
        <f>11370*(100%+20%)</f>
        <v>13644</v>
      </c>
      <c r="L270" s="69"/>
      <c r="M270" s="44"/>
    </row>
    <row r="271" spans="1:13" ht="15" customHeight="1">
      <c r="A271" s="38" t="s">
        <v>1046</v>
      </c>
      <c r="B271" s="138" t="s">
        <v>6</v>
      </c>
      <c r="C271" s="118" t="s">
        <v>0</v>
      </c>
      <c r="D271" s="220">
        <f>4781*(100%+20%)</f>
        <v>5737.2</v>
      </c>
      <c r="E271" s="221">
        <f>5663*(100%+20%)</f>
        <v>6795.599999999999</v>
      </c>
      <c r="F271" s="221">
        <f>7183*(100%+20%)</f>
        <v>8619.6</v>
      </c>
      <c r="G271" s="222">
        <f>7183*(100%+20%)</f>
        <v>8619.6</v>
      </c>
      <c r="H271" s="220">
        <f>7941*(100%+20%)</f>
        <v>9529.199999999999</v>
      </c>
      <c r="I271" s="221">
        <f>8823*(100%+20%)</f>
        <v>10587.6</v>
      </c>
      <c r="J271" s="221">
        <f>10343*(100%+20%)</f>
        <v>12411.6</v>
      </c>
      <c r="K271" s="223">
        <f>10343*(100%+20%)</f>
        <v>12411.6</v>
      </c>
      <c r="L271" s="69"/>
      <c r="M271" s="44"/>
    </row>
    <row r="272" spans="1:13" ht="15" customHeight="1">
      <c r="A272" s="38" t="s">
        <v>1047</v>
      </c>
      <c r="B272" s="138" t="s">
        <v>763</v>
      </c>
      <c r="C272" s="118" t="s">
        <v>0</v>
      </c>
      <c r="D272" s="220">
        <f>6929*(100%+20%)</f>
        <v>8314.8</v>
      </c>
      <c r="E272" s="221">
        <f>8049*(100%+20%)</f>
        <v>9658.8</v>
      </c>
      <c r="F272" s="221">
        <f>9981*(100%+20%)</f>
        <v>11977.199999999999</v>
      </c>
      <c r="G272" s="222">
        <f>9981*(100%+20%)</f>
        <v>11977.199999999999</v>
      </c>
      <c r="H272" s="220">
        <f>10088*(100%+20%)</f>
        <v>12105.6</v>
      </c>
      <c r="I272" s="221">
        <f>11209*(100%+20%)</f>
        <v>13450.8</v>
      </c>
      <c r="J272" s="221">
        <f>13141*(100%+20%)</f>
        <v>15769.199999999999</v>
      </c>
      <c r="K272" s="223">
        <f>13141*(100%+20%)</f>
        <v>15769.199999999999</v>
      </c>
      <c r="L272" s="69"/>
      <c r="M272" s="44"/>
    </row>
    <row r="273" spans="1:13" ht="15" customHeight="1" thickBot="1">
      <c r="A273" s="64" t="s">
        <v>1048</v>
      </c>
      <c r="B273" s="139" t="s">
        <v>61</v>
      </c>
      <c r="C273" s="119" t="s">
        <v>0</v>
      </c>
      <c r="D273" s="228">
        <f>5568*(100%+20%)</f>
        <v>6681.599999999999</v>
      </c>
      <c r="E273" s="229">
        <f>6539*(100%+20%)</f>
        <v>7846.799999999999</v>
      </c>
      <c r="F273" s="229">
        <f>8210*(100%+20%)</f>
        <v>9852</v>
      </c>
      <c r="G273" s="230">
        <f>8210*(100%+20%)</f>
        <v>9852</v>
      </c>
      <c r="H273" s="228">
        <f>8729*(100%+20%)</f>
        <v>10474.8</v>
      </c>
      <c r="I273" s="229">
        <f>9700*(100%+20%)</f>
        <v>11640</v>
      </c>
      <c r="J273" s="229">
        <f>11370*(100%+20%)</f>
        <v>13644</v>
      </c>
      <c r="K273" s="231">
        <f>11370*(100%+20%)</f>
        <v>13644</v>
      </c>
      <c r="L273" s="69"/>
      <c r="M273" s="44"/>
    </row>
    <row r="274" spans="1:13" ht="21" customHeight="1" thickBot="1">
      <c r="A274" s="25"/>
      <c r="B274" s="319" t="s">
        <v>1403</v>
      </c>
      <c r="C274" s="320"/>
      <c r="D274" s="323"/>
      <c r="E274" s="323"/>
      <c r="F274" s="323"/>
      <c r="G274" s="323"/>
      <c r="H274" s="323"/>
      <c r="I274" s="323"/>
      <c r="J274" s="323"/>
      <c r="K274" s="324"/>
      <c r="L274" s="69"/>
      <c r="M274" s="44"/>
    </row>
    <row r="275" spans="1:13" ht="15" customHeight="1" thickBot="1">
      <c r="A275" s="25"/>
      <c r="B275" s="314" t="s">
        <v>2</v>
      </c>
      <c r="C275" s="312" t="s">
        <v>1379</v>
      </c>
      <c r="D275" s="316" t="s">
        <v>845</v>
      </c>
      <c r="E275" s="317"/>
      <c r="F275" s="317"/>
      <c r="G275" s="318"/>
      <c r="H275" s="316" t="s">
        <v>846</v>
      </c>
      <c r="I275" s="317"/>
      <c r="J275" s="317"/>
      <c r="K275" s="318"/>
      <c r="L275" s="69"/>
      <c r="M275" s="44"/>
    </row>
    <row r="276" spans="1:13" ht="15" customHeight="1" thickBot="1">
      <c r="A276" s="25"/>
      <c r="B276" s="364"/>
      <c r="C276" s="313"/>
      <c r="D276" s="106" t="s">
        <v>847</v>
      </c>
      <c r="E276" s="105" t="s">
        <v>4</v>
      </c>
      <c r="F276" s="103" t="s">
        <v>5</v>
      </c>
      <c r="G276" s="105" t="s">
        <v>1420</v>
      </c>
      <c r="H276" s="103" t="s">
        <v>847</v>
      </c>
      <c r="I276" s="105" t="s">
        <v>4</v>
      </c>
      <c r="J276" s="103" t="s">
        <v>5</v>
      </c>
      <c r="K276" s="105" t="s">
        <v>1420</v>
      </c>
      <c r="L276" s="69"/>
      <c r="M276" s="44"/>
    </row>
    <row r="277" spans="1:13" ht="15" customHeight="1">
      <c r="A277" s="25"/>
      <c r="B277" s="137" t="s">
        <v>60</v>
      </c>
      <c r="C277" s="117" t="s">
        <v>0</v>
      </c>
      <c r="D277" s="216">
        <f>5568*(100%+20%)</f>
        <v>6681.599999999999</v>
      </c>
      <c r="E277" s="232">
        <f>6539*(100%+20%)</f>
        <v>7846.799999999999</v>
      </c>
      <c r="F277" s="217">
        <f>8210*(100%+20%)</f>
        <v>9852</v>
      </c>
      <c r="G277" s="233">
        <f>8210*(100%+20%)</f>
        <v>9852</v>
      </c>
      <c r="H277" s="216">
        <f>8729*(100%+20%)</f>
        <v>10474.8</v>
      </c>
      <c r="I277" s="232">
        <f>9700*(100%+20%)</f>
        <v>11640</v>
      </c>
      <c r="J277" s="217">
        <f>11370*(100%+20%)</f>
        <v>13644</v>
      </c>
      <c r="K277" s="234">
        <f>11370*(100%+20%)</f>
        <v>13644</v>
      </c>
      <c r="L277" s="69"/>
      <c r="M277" s="44"/>
    </row>
    <row r="278" spans="1:13" ht="15" customHeight="1">
      <c r="A278" s="25"/>
      <c r="B278" s="138" t="s">
        <v>6</v>
      </c>
      <c r="C278" s="118" t="s">
        <v>0</v>
      </c>
      <c r="D278" s="220">
        <f>4781*(100%+20%)</f>
        <v>5737.2</v>
      </c>
      <c r="E278" s="221">
        <f>5663*(100%+20%)</f>
        <v>6795.599999999999</v>
      </c>
      <c r="F278" s="221">
        <f>7183*(100%+20%)</f>
        <v>8619.6</v>
      </c>
      <c r="G278" s="222">
        <f>7183*(100%+20%)</f>
        <v>8619.6</v>
      </c>
      <c r="H278" s="220">
        <f>7941*(100%+20%)</f>
        <v>9529.199999999999</v>
      </c>
      <c r="I278" s="221">
        <f>8823*(100%+20%)</f>
        <v>10587.6</v>
      </c>
      <c r="J278" s="221">
        <f>10343*(100%+20%)</f>
        <v>12411.6</v>
      </c>
      <c r="K278" s="223">
        <f>10343*(100%+20%)</f>
        <v>12411.6</v>
      </c>
      <c r="L278" s="69"/>
      <c r="M278" s="44"/>
    </row>
    <row r="279" spans="1:13" ht="15" customHeight="1">
      <c r="A279" s="25"/>
      <c r="B279" s="138" t="s">
        <v>763</v>
      </c>
      <c r="C279" s="118" t="s">
        <v>0</v>
      </c>
      <c r="D279" s="220">
        <f>6929*(100%+20%)</f>
        <v>8314.8</v>
      </c>
      <c r="E279" s="221">
        <f>8049*(100%+20%)</f>
        <v>9658.8</v>
      </c>
      <c r="F279" s="221">
        <f>9981*(100%+20%)</f>
        <v>11977.199999999999</v>
      </c>
      <c r="G279" s="222">
        <f>9981*(100%+20%)</f>
        <v>11977.199999999999</v>
      </c>
      <c r="H279" s="220">
        <f>10088*(100%+20%)</f>
        <v>12105.6</v>
      </c>
      <c r="I279" s="221">
        <f>11209*(100%+20%)</f>
        <v>13450.8</v>
      </c>
      <c r="J279" s="221">
        <f>13141*(100%+20%)</f>
        <v>15769.199999999999</v>
      </c>
      <c r="K279" s="223">
        <f>13141*(100%+20%)</f>
        <v>15769.199999999999</v>
      </c>
      <c r="L279" s="69"/>
      <c r="M279" s="44"/>
    </row>
    <row r="280" spans="1:13" ht="15" customHeight="1">
      <c r="A280" s="25"/>
      <c r="B280" s="143" t="s">
        <v>1436</v>
      </c>
      <c r="C280" s="118" t="s">
        <v>0</v>
      </c>
      <c r="D280" s="220">
        <f>5176*(100%+20%)</f>
        <v>6211.2</v>
      </c>
      <c r="E280" s="221">
        <f>6102*(100%+20%)</f>
        <v>7322.4</v>
      </c>
      <c r="F280" s="221">
        <f>7697*(100%+20%)</f>
        <v>9236.4</v>
      </c>
      <c r="G280" s="222">
        <f>7697*(100%+20%)</f>
        <v>9236.4</v>
      </c>
      <c r="H280" s="220">
        <f>8336*(100%+20%)</f>
        <v>10003.199999999999</v>
      </c>
      <c r="I280" s="221">
        <f>9262*(100%+20%)</f>
        <v>11114.4</v>
      </c>
      <c r="J280" s="221">
        <f>10858*(100%+20%)</f>
        <v>13029.6</v>
      </c>
      <c r="K280" s="223">
        <f>10858*(100%+20%)</f>
        <v>13029.6</v>
      </c>
      <c r="L280" s="69"/>
      <c r="M280" s="44"/>
    </row>
    <row r="281" spans="1:13" ht="15" customHeight="1" thickBot="1">
      <c r="A281" s="25"/>
      <c r="B281" s="139" t="s">
        <v>61</v>
      </c>
      <c r="C281" s="119" t="s">
        <v>0</v>
      </c>
      <c r="D281" s="228">
        <f>5568*(100%+20%)</f>
        <v>6681.599999999999</v>
      </c>
      <c r="E281" s="229">
        <f>6539*(100%+20%)</f>
        <v>7846.799999999999</v>
      </c>
      <c r="F281" s="229">
        <f>8210*(100%+20%)</f>
        <v>9852</v>
      </c>
      <c r="G281" s="230">
        <f>8210*(100%+20%)</f>
        <v>9852</v>
      </c>
      <c r="H281" s="228">
        <f>8729*(100%+20%)</f>
        <v>10474.8</v>
      </c>
      <c r="I281" s="229">
        <f>9700*(100%+20%)</f>
        <v>11640</v>
      </c>
      <c r="J281" s="229">
        <f>11370*(100%+20%)</f>
        <v>13644</v>
      </c>
      <c r="K281" s="231">
        <f>11370*(100%+20%)</f>
        <v>13644</v>
      </c>
      <c r="L281" s="69"/>
      <c r="M281" s="44"/>
    </row>
    <row r="282" spans="1:11" ht="21" customHeight="1" thickBot="1">
      <c r="A282" s="18"/>
      <c r="B282" s="319" t="s">
        <v>849</v>
      </c>
      <c r="C282" s="320"/>
      <c r="D282" s="323"/>
      <c r="E282" s="323"/>
      <c r="F282" s="323"/>
      <c r="G282" s="323"/>
      <c r="H282" s="323"/>
      <c r="I282" s="323"/>
      <c r="J282" s="323"/>
      <c r="K282" s="324"/>
    </row>
    <row r="283" spans="1:11" ht="15" customHeight="1" thickBot="1">
      <c r="A283" s="18"/>
      <c r="B283" s="314" t="s">
        <v>2</v>
      </c>
      <c r="C283" s="312" t="s">
        <v>1379</v>
      </c>
      <c r="D283" s="316" t="s">
        <v>845</v>
      </c>
      <c r="E283" s="317"/>
      <c r="F283" s="317"/>
      <c r="G283" s="318"/>
      <c r="H283" s="316" t="s">
        <v>846</v>
      </c>
      <c r="I283" s="317"/>
      <c r="J283" s="317"/>
      <c r="K283" s="318"/>
    </row>
    <row r="284" spans="1:11" ht="15" customHeight="1" thickBot="1">
      <c r="A284" s="18"/>
      <c r="B284" s="364"/>
      <c r="C284" s="313"/>
      <c r="D284" s="106" t="s">
        <v>847</v>
      </c>
      <c r="E284" s="105" t="s">
        <v>4</v>
      </c>
      <c r="F284" s="103" t="s">
        <v>5</v>
      </c>
      <c r="G284" s="105" t="s">
        <v>1420</v>
      </c>
      <c r="H284" s="103" t="s">
        <v>847</v>
      </c>
      <c r="I284" s="105" t="s">
        <v>4</v>
      </c>
      <c r="J284" s="103" t="s">
        <v>5</v>
      </c>
      <c r="K284" s="105" t="s">
        <v>1420</v>
      </c>
    </row>
    <row r="285" spans="1:13" ht="15" customHeight="1">
      <c r="A285" s="20" t="s">
        <v>1049</v>
      </c>
      <c r="B285" s="137" t="s">
        <v>60</v>
      </c>
      <c r="C285" s="117" t="s">
        <v>0</v>
      </c>
      <c r="D285" s="216">
        <f>5861*(100%+20%)</f>
        <v>7033.2</v>
      </c>
      <c r="E285" s="232">
        <f>6862*(100%+20%)</f>
        <v>8234.4</v>
      </c>
      <c r="F285" s="217">
        <f>8592*(100%+20%)</f>
        <v>10310.4</v>
      </c>
      <c r="G285" s="233">
        <f>8592*(100%+20%)</f>
        <v>10310.4</v>
      </c>
      <c r="H285" s="216">
        <f>9022*(100%+20%)</f>
        <v>10826.4</v>
      </c>
      <c r="I285" s="232">
        <f>10023*(100%+20%)</f>
        <v>12027.6</v>
      </c>
      <c r="J285" s="217">
        <f>11751*(100%+20%)</f>
        <v>14101.199999999999</v>
      </c>
      <c r="K285" s="234">
        <f>11751*(100%+20%)</f>
        <v>14101.199999999999</v>
      </c>
      <c r="L285" s="69"/>
      <c r="M285" s="44"/>
    </row>
    <row r="286" spans="1:13" ht="15" customHeight="1">
      <c r="A286" s="21" t="s">
        <v>1050</v>
      </c>
      <c r="B286" s="138" t="s">
        <v>6</v>
      </c>
      <c r="C286" s="118" t="s">
        <v>0</v>
      </c>
      <c r="D286" s="220">
        <f>5041*(100%+20%)</f>
        <v>6049.2</v>
      </c>
      <c r="E286" s="221">
        <f>5952*(100%+20%)</f>
        <v>7142.4</v>
      </c>
      <c r="F286" s="221">
        <f>7523*(100%+20%)</f>
        <v>9027.6</v>
      </c>
      <c r="G286" s="222">
        <f>7523*(100%+20%)</f>
        <v>9027.6</v>
      </c>
      <c r="H286" s="220">
        <f>8200*(100%+20%)</f>
        <v>9840</v>
      </c>
      <c r="I286" s="221">
        <f>9112*(100%+20%)</f>
        <v>10934.4</v>
      </c>
      <c r="J286" s="221">
        <f>10683*(100%+20%)</f>
        <v>12819.6</v>
      </c>
      <c r="K286" s="223">
        <f>10683*(100%+20%)</f>
        <v>12819.6</v>
      </c>
      <c r="L286" s="69"/>
      <c r="M286" s="44"/>
    </row>
    <row r="287" spans="1:13" ht="15" customHeight="1">
      <c r="A287" s="21" t="s">
        <v>1051</v>
      </c>
      <c r="B287" s="138" t="s">
        <v>7</v>
      </c>
      <c r="C287" s="118" t="s">
        <v>0</v>
      </c>
      <c r="D287" s="220">
        <f>7374*(100%+20%)</f>
        <v>8848.8</v>
      </c>
      <c r="E287" s="221">
        <f>8545*(100%+20%)</f>
        <v>10254</v>
      </c>
      <c r="F287" s="221">
        <f>10561*(100%+20%)</f>
        <v>12673.199999999999</v>
      </c>
      <c r="G287" s="222">
        <f>10561*(100%+20%)</f>
        <v>12673.199999999999</v>
      </c>
      <c r="H287" s="220">
        <f>10535*(100%+20%)</f>
        <v>12642</v>
      </c>
      <c r="I287" s="221">
        <f>11705*(100%+20%)</f>
        <v>14046</v>
      </c>
      <c r="J287" s="221">
        <f>13722*(100%+20%)</f>
        <v>16466.399999999998</v>
      </c>
      <c r="K287" s="223">
        <f>13722*(100%+20%)</f>
        <v>16466.399999999998</v>
      </c>
      <c r="L287" s="69"/>
      <c r="M287" s="44"/>
    </row>
    <row r="288" spans="1:13" ht="15" customHeight="1">
      <c r="A288" s="21" t="s">
        <v>1052</v>
      </c>
      <c r="B288" s="138" t="s">
        <v>763</v>
      </c>
      <c r="C288" s="118" t="s">
        <v>0</v>
      </c>
      <c r="D288" s="220">
        <f>7374*(100%+20%)</f>
        <v>8848.8</v>
      </c>
      <c r="E288" s="221">
        <f>8545*(100%+20%)</f>
        <v>10254</v>
      </c>
      <c r="F288" s="221">
        <f>10561*(100%+20%)</f>
        <v>12673.199999999999</v>
      </c>
      <c r="G288" s="222">
        <f>10561*(100%+20%)</f>
        <v>12673.199999999999</v>
      </c>
      <c r="H288" s="220">
        <f>10535*(100%+20%)</f>
        <v>12642</v>
      </c>
      <c r="I288" s="221">
        <f>11705*(100%+20%)</f>
        <v>14046</v>
      </c>
      <c r="J288" s="221">
        <f>13722*(100%+20%)</f>
        <v>16466.399999999998</v>
      </c>
      <c r="K288" s="223">
        <f>13722*(100%+20%)</f>
        <v>16466.399999999998</v>
      </c>
      <c r="L288" s="69"/>
      <c r="M288" s="44"/>
    </row>
    <row r="289" spans="1:13" ht="15" customHeight="1">
      <c r="A289" s="21"/>
      <c r="B289" s="138" t="s">
        <v>1436</v>
      </c>
      <c r="C289" s="118" t="s">
        <v>0</v>
      </c>
      <c r="D289" s="220">
        <f>5451*(100%+20%)</f>
        <v>6541.2</v>
      </c>
      <c r="E289" s="221">
        <f>6408*(100%+20%)</f>
        <v>7689.599999999999</v>
      </c>
      <c r="F289" s="221">
        <f>8058*(100%+20%)</f>
        <v>9669.6</v>
      </c>
      <c r="G289" s="222">
        <f>8058*(100%+20%)</f>
        <v>9669.6</v>
      </c>
      <c r="H289" s="220">
        <f>8611*(100%+20%)</f>
        <v>10333.199999999999</v>
      </c>
      <c r="I289" s="221">
        <f>9568*(100%+20%)</f>
        <v>11481.6</v>
      </c>
      <c r="J289" s="221">
        <f>11218*(100%+20%)</f>
        <v>13461.6</v>
      </c>
      <c r="K289" s="223">
        <f>11218*(100%+20%)</f>
        <v>13461.6</v>
      </c>
      <c r="L289" s="69"/>
      <c r="M289" s="44"/>
    </row>
    <row r="290" spans="1:13" ht="15" customHeight="1">
      <c r="A290" s="21" t="s">
        <v>1053</v>
      </c>
      <c r="B290" s="138" t="s">
        <v>8</v>
      </c>
      <c r="C290" s="118" t="s">
        <v>9</v>
      </c>
      <c r="D290" s="220">
        <f>8539*(100%+20%)</f>
        <v>10246.8</v>
      </c>
      <c r="E290" s="221">
        <f>8539*(100%+20%)</f>
        <v>10246.8</v>
      </c>
      <c r="F290" s="221">
        <f>10272*(100%+20%)</f>
        <v>12326.4</v>
      </c>
      <c r="G290" s="222">
        <f>10272*(100%+20%)</f>
        <v>12326.4</v>
      </c>
      <c r="H290" s="220">
        <f>10055*(100%+20%)</f>
        <v>12066</v>
      </c>
      <c r="I290" s="221">
        <f>10055*(100%+20%)</f>
        <v>12066</v>
      </c>
      <c r="J290" s="221">
        <f>11788*(100%+20%)</f>
        <v>14145.6</v>
      </c>
      <c r="K290" s="223">
        <f>11788*(100%+20%)</f>
        <v>14145.6</v>
      </c>
      <c r="L290" s="69"/>
      <c r="M290" s="44"/>
    </row>
    <row r="291" spans="1:13" ht="15" customHeight="1">
      <c r="A291" s="28" t="s">
        <v>1054</v>
      </c>
      <c r="B291" s="138" t="s">
        <v>10</v>
      </c>
      <c r="C291" s="118" t="s">
        <v>9</v>
      </c>
      <c r="D291" s="220">
        <f>4360*(100%+20%)</f>
        <v>5232</v>
      </c>
      <c r="E291" s="221">
        <f>4360*(100%+20%)</f>
        <v>5232</v>
      </c>
      <c r="F291" s="221">
        <f>5375*(100%+20%)</f>
        <v>6450</v>
      </c>
      <c r="G291" s="222">
        <f>5375*(100%+20%)</f>
        <v>6450</v>
      </c>
      <c r="H291" s="220">
        <f>5878*(100%+20%)</f>
        <v>7053.599999999999</v>
      </c>
      <c r="I291" s="221">
        <f>5878*(100%+20%)</f>
        <v>7053.599999999999</v>
      </c>
      <c r="J291" s="221">
        <f>6892*(100%+20%)</f>
        <v>8270.4</v>
      </c>
      <c r="K291" s="223">
        <f>6892*(100%+20%)</f>
        <v>8270.4</v>
      </c>
      <c r="L291" s="69"/>
      <c r="M291" s="44"/>
    </row>
    <row r="292" spans="1:13" ht="15" customHeight="1">
      <c r="A292" s="23" t="s">
        <v>1055</v>
      </c>
      <c r="B292" s="138" t="s">
        <v>11</v>
      </c>
      <c r="C292" s="118" t="s">
        <v>9</v>
      </c>
      <c r="D292" s="220">
        <f>9347*(100%+20%)</f>
        <v>11216.4</v>
      </c>
      <c r="E292" s="221">
        <f>9347*(100%+20%)</f>
        <v>11216.4</v>
      </c>
      <c r="F292" s="221">
        <f>11220*(100%+20%)</f>
        <v>13464</v>
      </c>
      <c r="G292" s="222">
        <f>11220*(100%+20%)</f>
        <v>13464</v>
      </c>
      <c r="H292" s="220">
        <f>10865*(100%+20%)</f>
        <v>13038</v>
      </c>
      <c r="I292" s="221">
        <f>10865*(100%+20%)</f>
        <v>13038</v>
      </c>
      <c r="J292" s="221">
        <f>12737*(100%+20%)</f>
        <v>15284.4</v>
      </c>
      <c r="K292" s="223">
        <f>12737*(100%+20%)</f>
        <v>15284.4</v>
      </c>
      <c r="L292" s="69"/>
      <c r="M292" s="44"/>
    </row>
    <row r="293" spans="1:13" ht="15" customHeight="1" thickBot="1">
      <c r="A293" s="53" t="s">
        <v>1056</v>
      </c>
      <c r="B293" s="139" t="s">
        <v>61</v>
      </c>
      <c r="C293" s="119" t="s">
        <v>0</v>
      </c>
      <c r="D293" s="228">
        <f>5861*(100%+20%)</f>
        <v>7033.2</v>
      </c>
      <c r="E293" s="229">
        <f>6862*(100%+20%)</f>
        <v>8234.4</v>
      </c>
      <c r="F293" s="229">
        <f>8592*(100%+20%)</f>
        <v>10310.4</v>
      </c>
      <c r="G293" s="230">
        <f>8592*(100%+20%)</f>
        <v>10310.4</v>
      </c>
      <c r="H293" s="228">
        <f>9022*(100%+20%)</f>
        <v>10826.4</v>
      </c>
      <c r="I293" s="229">
        <f>10023*(100%+20%)</f>
        <v>12027.6</v>
      </c>
      <c r="J293" s="229">
        <f>11751*(100%+20%)</f>
        <v>14101.199999999999</v>
      </c>
      <c r="K293" s="231">
        <f>11751*(100%+20%)</f>
        <v>14101.199999999999</v>
      </c>
      <c r="L293" s="69"/>
      <c r="M293" s="44"/>
    </row>
    <row r="294" spans="1:11" ht="21" customHeight="1" thickBot="1">
      <c r="A294" s="18"/>
      <c r="B294" s="319" t="s">
        <v>850</v>
      </c>
      <c r="C294" s="320"/>
      <c r="D294" s="323"/>
      <c r="E294" s="323"/>
      <c r="F294" s="323"/>
      <c r="G294" s="323"/>
      <c r="H294" s="323"/>
      <c r="I294" s="323"/>
      <c r="J294" s="323"/>
      <c r="K294" s="324"/>
    </row>
    <row r="295" spans="1:11" ht="15" customHeight="1" thickBot="1">
      <c r="A295" s="18"/>
      <c r="B295" s="314" t="s">
        <v>2</v>
      </c>
      <c r="C295" s="312" t="s">
        <v>1379</v>
      </c>
      <c r="D295" s="316" t="s">
        <v>845</v>
      </c>
      <c r="E295" s="317"/>
      <c r="F295" s="317"/>
      <c r="G295" s="318"/>
      <c r="H295" s="316" t="s">
        <v>846</v>
      </c>
      <c r="I295" s="317"/>
      <c r="J295" s="317"/>
      <c r="K295" s="318"/>
    </row>
    <row r="296" spans="1:11" ht="15" customHeight="1" thickBot="1">
      <c r="A296" s="18"/>
      <c r="B296" s="364"/>
      <c r="C296" s="313"/>
      <c r="D296" s="106" t="s">
        <v>847</v>
      </c>
      <c r="E296" s="105" t="s">
        <v>4</v>
      </c>
      <c r="F296" s="103" t="s">
        <v>5</v>
      </c>
      <c r="G296" s="105" t="s">
        <v>1420</v>
      </c>
      <c r="H296" s="103" t="s">
        <v>847</v>
      </c>
      <c r="I296" s="105" t="s">
        <v>4</v>
      </c>
      <c r="J296" s="103" t="s">
        <v>5</v>
      </c>
      <c r="K296" s="105" t="s">
        <v>1420</v>
      </c>
    </row>
    <row r="297" spans="1:13" ht="15" customHeight="1">
      <c r="A297" s="20" t="s">
        <v>1057</v>
      </c>
      <c r="B297" s="137" t="s">
        <v>60</v>
      </c>
      <c r="C297" s="117" t="s">
        <v>0</v>
      </c>
      <c r="D297" s="216">
        <f>5861*(100%+20%)</f>
        <v>7033.2</v>
      </c>
      <c r="E297" s="232">
        <f>6862*(100%+20%)</f>
        <v>8234.4</v>
      </c>
      <c r="F297" s="217">
        <f>8592*(100%+20%)</f>
        <v>10310.4</v>
      </c>
      <c r="G297" s="233">
        <f>8592*(100%+20%)</f>
        <v>10310.4</v>
      </c>
      <c r="H297" s="216">
        <f>9022*(100%+20%)</f>
        <v>10826.4</v>
      </c>
      <c r="I297" s="232">
        <f>10023*(100%+20%)</f>
        <v>12027.6</v>
      </c>
      <c r="J297" s="217">
        <f>11751*(100%+20%)</f>
        <v>14101.199999999999</v>
      </c>
      <c r="K297" s="234">
        <f>11751*(100%+20%)</f>
        <v>14101.199999999999</v>
      </c>
      <c r="L297" s="69"/>
      <c r="M297" s="44"/>
    </row>
    <row r="298" spans="1:13" ht="15" customHeight="1">
      <c r="A298" s="21" t="s">
        <v>1058</v>
      </c>
      <c r="B298" s="138" t="s">
        <v>6</v>
      </c>
      <c r="C298" s="118" t="s">
        <v>0</v>
      </c>
      <c r="D298" s="220">
        <f>5041*(100%+20%)</f>
        <v>6049.2</v>
      </c>
      <c r="E298" s="221">
        <f>5952*(100%+20%)</f>
        <v>7142.4</v>
      </c>
      <c r="F298" s="221">
        <f>7523*(100%+20%)</f>
        <v>9027.6</v>
      </c>
      <c r="G298" s="222">
        <f>7523*(100%+20%)</f>
        <v>9027.6</v>
      </c>
      <c r="H298" s="220">
        <f>8200*(100%+20%)</f>
        <v>9840</v>
      </c>
      <c r="I298" s="221">
        <f>9112*(100%+20%)</f>
        <v>10934.4</v>
      </c>
      <c r="J298" s="221">
        <f>10683*(100%+20%)</f>
        <v>12819.6</v>
      </c>
      <c r="K298" s="223">
        <f>10683*(100%+20%)</f>
        <v>12819.6</v>
      </c>
      <c r="L298" s="69"/>
      <c r="M298" s="44"/>
    </row>
    <row r="299" spans="1:13" ht="15" customHeight="1">
      <c r="A299" s="21" t="s">
        <v>1059</v>
      </c>
      <c r="B299" s="138" t="s">
        <v>7</v>
      </c>
      <c r="C299" s="118" t="s">
        <v>0</v>
      </c>
      <c r="D299" s="220">
        <f>7374*(100%+20%)</f>
        <v>8848.8</v>
      </c>
      <c r="E299" s="221">
        <f>8545*(100%+20%)</f>
        <v>10254</v>
      </c>
      <c r="F299" s="221">
        <f>10561*(100%+20%)</f>
        <v>12673.199999999999</v>
      </c>
      <c r="G299" s="222">
        <f>10561*(100%+20%)</f>
        <v>12673.199999999999</v>
      </c>
      <c r="H299" s="220">
        <f>10535*(100%+20%)</f>
        <v>12642</v>
      </c>
      <c r="I299" s="221">
        <f>11705*(100%+20%)</f>
        <v>14046</v>
      </c>
      <c r="J299" s="221">
        <f>13722*(100%+20%)</f>
        <v>16466.399999999998</v>
      </c>
      <c r="K299" s="223">
        <f>13722*(100%+20%)</f>
        <v>16466.399999999998</v>
      </c>
      <c r="L299" s="69"/>
      <c r="M299" s="44"/>
    </row>
    <row r="300" spans="1:13" ht="15" customHeight="1">
      <c r="A300" s="21" t="s">
        <v>1060</v>
      </c>
      <c r="B300" s="138" t="s">
        <v>763</v>
      </c>
      <c r="C300" s="118" t="s">
        <v>0</v>
      </c>
      <c r="D300" s="220">
        <f>7374*(100%+20%)</f>
        <v>8848.8</v>
      </c>
      <c r="E300" s="221">
        <f>8545*(100%+20%)</f>
        <v>10254</v>
      </c>
      <c r="F300" s="221">
        <f>10561*(100%+20%)</f>
        <v>12673.199999999999</v>
      </c>
      <c r="G300" s="222">
        <f>10561*(100%+20%)</f>
        <v>12673.199999999999</v>
      </c>
      <c r="H300" s="220">
        <f>10535*(100%+20%)</f>
        <v>12642</v>
      </c>
      <c r="I300" s="221">
        <f>11705*(100%+20%)</f>
        <v>14046</v>
      </c>
      <c r="J300" s="221">
        <f>13722*(100%+20%)</f>
        <v>16466.399999999998</v>
      </c>
      <c r="K300" s="223">
        <f>13722*(100%+20%)</f>
        <v>16466.399999999998</v>
      </c>
      <c r="L300" s="69"/>
      <c r="M300" s="44"/>
    </row>
    <row r="301" spans="1:13" ht="15" customHeight="1">
      <c r="A301" s="21" t="s">
        <v>1061</v>
      </c>
      <c r="B301" s="138" t="s">
        <v>8</v>
      </c>
      <c r="C301" s="118" t="s">
        <v>9</v>
      </c>
      <c r="D301" s="220">
        <f>8539*(100%+20%)</f>
        <v>10246.8</v>
      </c>
      <c r="E301" s="221">
        <f>8539*(100%+20%)</f>
        <v>10246.8</v>
      </c>
      <c r="F301" s="221">
        <f>10272*(100%+20%)</f>
        <v>12326.4</v>
      </c>
      <c r="G301" s="222">
        <f>10272*(100%+20%)</f>
        <v>12326.4</v>
      </c>
      <c r="H301" s="220">
        <f>10055*(100%+20%)</f>
        <v>12066</v>
      </c>
      <c r="I301" s="221">
        <f>10055*(100%+20%)</f>
        <v>12066</v>
      </c>
      <c r="J301" s="221">
        <f>11788*(100%+20%)</f>
        <v>14145.6</v>
      </c>
      <c r="K301" s="223">
        <f>11788*(100%+20%)</f>
        <v>14145.6</v>
      </c>
      <c r="L301" s="69"/>
      <c r="M301" s="44"/>
    </row>
    <row r="302" spans="1:13" ht="15" customHeight="1">
      <c r="A302" s="23" t="s">
        <v>1062</v>
      </c>
      <c r="B302" s="138" t="s">
        <v>10</v>
      </c>
      <c r="C302" s="118" t="s">
        <v>9</v>
      </c>
      <c r="D302" s="220">
        <f>4360*(100%+20%)</f>
        <v>5232</v>
      </c>
      <c r="E302" s="221">
        <f>4360*(100%+20%)</f>
        <v>5232</v>
      </c>
      <c r="F302" s="221">
        <f>5375*(100%+20%)</f>
        <v>6450</v>
      </c>
      <c r="G302" s="222">
        <f>5375*(100%+20%)</f>
        <v>6450</v>
      </c>
      <c r="H302" s="220">
        <f>5878*(100%+20%)</f>
        <v>7053.599999999999</v>
      </c>
      <c r="I302" s="221">
        <f>5878*(100%+20%)</f>
        <v>7053.599999999999</v>
      </c>
      <c r="J302" s="221">
        <f>6892*(100%+20%)</f>
        <v>8270.4</v>
      </c>
      <c r="K302" s="223">
        <f>6892*(100%+20%)</f>
        <v>8270.4</v>
      </c>
      <c r="L302" s="69"/>
      <c r="M302" s="44"/>
    </row>
    <row r="303" spans="1:13" ht="15" customHeight="1">
      <c r="A303" s="53" t="s">
        <v>1063</v>
      </c>
      <c r="B303" s="138" t="s">
        <v>11</v>
      </c>
      <c r="C303" s="118" t="s">
        <v>9</v>
      </c>
      <c r="D303" s="220">
        <f>9347*(100%+20%)</f>
        <v>11216.4</v>
      </c>
      <c r="E303" s="221">
        <f>9347*(100%+20%)</f>
        <v>11216.4</v>
      </c>
      <c r="F303" s="221">
        <f>11220*(100%+20%)</f>
        <v>13464</v>
      </c>
      <c r="G303" s="222">
        <f>11220*(100%+20%)</f>
        <v>13464</v>
      </c>
      <c r="H303" s="220">
        <f>10865*(100%+20%)</f>
        <v>13038</v>
      </c>
      <c r="I303" s="221">
        <f>10865*(100%+20%)</f>
        <v>13038</v>
      </c>
      <c r="J303" s="221">
        <f>12737*(100%+20%)</f>
        <v>15284.4</v>
      </c>
      <c r="K303" s="223">
        <f>12737*(100%+20%)</f>
        <v>15284.4</v>
      </c>
      <c r="L303" s="69"/>
      <c r="M303" s="44"/>
    </row>
    <row r="304" spans="1:13" ht="15" customHeight="1" thickBot="1">
      <c r="A304" s="53" t="s">
        <v>1064</v>
      </c>
      <c r="B304" s="139" t="s">
        <v>61</v>
      </c>
      <c r="C304" s="119" t="s">
        <v>0</v>
      </c>
      <c r="D304" s="228">
        <f>5861*(100%+20%)</f>
        <v>7033.2</v>
      </c>
      <c r="E304" s="229">
        <f>6862*(100%+20%)</f>
        <v>8234.4</v>
      </c>
      <c r="F304" s="229">
        <f>8592*(100%+20%)</f>
        <v>10310.4</v>
      </c>
      <c r="G304" s="230">
        <f>8592*(100%+20%)</f>
        <v>10310.4</v>
      </c>
      <c r="H304" s="228">
        <f>9022*(100%+20%)</f>
        <v>10826.4</v>
      </c>
      <c r="I304" s="229">
        <f>10023*(100%+20%)</f>
        <v>12027.6</v>
      </c>
      <c r="J304" s="229">
        <f>11751*(100%+20%)</f>
        <v>14101.199999999999</v>
      </c>
      <c r="K304" s="231">
        <f>11751*(100%+20%)</f>
        <v>14101.199999999999</v>
      </c>
      <c r="L304" s="69"/>
      <c r="M304" s="44"/>
    </row>
    <row r="305" spans="1:13" ht="13.5" customHeight="1" thickBot="1">
      <c r="A305" s="25"/>
      <c r="B305" s="288" t="s">
        <v>2215</v>
      </c>
      <c r="C305" s="288"/>
      <c r="D305" s="288"/>
      <c r="E305" s="288"/>
      <c r="F305" s="288"/>
      <c r="G305" s="288"/>
      <c r="H305" s="288"/>
      <c r="I305" s="288"/>
      <c r="J305" s="288"/>
      <c r="K305" s="288"/>
      <c r="L305" s="69"/>
      <c r="M305" s="44"/>
    </row>
    <row r="306" spans="1:11" ht="21" customHeight="1" thickBot="1">
      <c r="A306" s="18"/>
      <c r="B306" s="319" t="s">
        <v>2195</v>
      </c>
      <c r="C306" s="320"/>
      <c r="D306" s="323"/>
      <c r="E306" s="323"/>
      <c r="F306" s="323"/>
      <c r="G306" s="323"/>
      <c r="H306" s="323"/>
      <c r="I306" s="323"/>
      <c r="J306" s="323"/>
      <c r="K306" s="324"/>
    </row>
    <row r="307" spans="1:11" ht="15" customHeight="1" thickBot="1">
      <c r="A307" s="18"/>
      <c r="B307" s="314" t="s">
        <v>2</v>
      </c>
      <c r="C307" s="312" t="s">
        <v>1379</v>
      </c>
      <c r="D307" s="316" t="s">
        <v>845</v>
      </c>
      <c r="E307" s="317"/>
      <c r="F307" s="317"/>
      <c r="G307" s="318"/>
      <c r="H307" s="316" t="s">
        <v>846</v>
      </c>
      <c r="I307" s="317"/>
      <c r="J307" s="317"/>
      <c r="K307" s="318"/>
    </row>
    <row r="308" spans="1:11" ht="15" customHeight="1" thickBot="1">
      <c r="A308" s="18"/>
      <c r="B308" s="364"/>
      <c r="C308" s="313"/>
      <c r="D308" s="106" t="s">
        <v>847</v>
      </c>
      <c r="E308" s="105" t="s">
        <v>4</v>
      </c>
      <c r="F308" s="103" t="s">
        <v>5</v>
      </c>
      <c r="G308" s="105" t="s">
        <v>1420</v>
      </c>
      <c r="H308" s="103" t="s">
        <v>847</v>
      </c>
      <c r="I308" s="105" t="s">
        <v>4</v>
      </c>
      <c r="J308" s="103" t="s">
        <v>5</v>
      </c>
      <c r="K308" s="105" t="s">
        <v>1420</v>
      </c>
    </row>
    <row r="309" spans="1:13" ht="15" customHeight="1">
      <c r="A309" s="38" t="s">
        <v>1065</v>
      </c>
      <c r="B309" s="137" t="s">
        <v>1382</v>
      </c>
      <c r="C309" s="117" t="s">
        <v>0</v>
      </c>
      <c r="D309" s="149" t="s">
        <v>159</v>
      </c>
      <c r="E309" s="217">
        <f>13210*(100%+20%)</f>
        <v>15852</v>
      </c>
      <c r="F309" s="217">
        <f aca="true" t="shared" si="0" ref="F309:G312">16032*(100%+20%)</f>
        <v>19238.399999999998</v>
      </c>
      <c r="G309" s="219">
        <f t="shared" si="0"/>
        <v>19238.399999999998</v>
      </c>
      <c r="H309" s="174" t="s">
        <v>159</v>
      </c>
      <c r="I309" s="232">
        <f>16370*(100%+20%)</f>
        <v>19644</v>
      </c>
      <c r="J309" s="217">
        <f aca="true" t="shared" si="1" ref="J309:K312">19192*(100%+20%)</f>
        <v>23030.399999999998</v>
      </c>
      <c r="K309" s="234">
        <f t="shared" si="1"/>
        <v>23030.399999999998</v>
      </c>
      <c r="L309" s="69"/>
      <c r="M309" s="44"/>
    </row>
    <row r="310" spans="1:13" ht="15" customHeight="1">
      <c r="A310" s="87"/>
      <c r="B310" s="138" t="s">
        <v>1383</v>
      </c>
      <c r="C310" s="118" t="s">
        <v>0</v>
      </c>
      <c r="D310" s="153" t="s">
        <v>159</v>
      </c>
      <c r="E310" s="221">
        <f>13210*(100%+20%)</f>
        <v>15852</v>
      </c>
      <c r="F310" s="221">
        <f t="shared" si="0"/>
        <v>19238.399999999998</v>
      </c>
      <c r="G310" s="223">
        <f t="shared" si="0"/>
        <v>19238.399999999998</v>
      </c>
      <c r="H310" s="174" t="s">
        <v>159</v>
      </c>
      <c r="I310" s="221">
        <f>16370*(100%+20%)</f>
        <v>19644</v>
      </c>
      <c r="J310" s="221">
        <f t="shared" si="1"/>
        <v>23030.399999999998</v>
      </c>
      <c r="K310" s="223">
        <f t="shared" si="1"/>
        <v>23030.399999999998</v>
      </c>
      <c r="L310" s="69"/>
      <c r="M310" s="44"/>
    </row>
    <row r="311" spans="1:13" ht="15" customHeight="1">
      <c r="A311" s="87"/>
      <c r="B311" s="138" t="s">
        <v>1384</v>
      </c>
      <c r="C311" s="118" t="s">
        <v>0</v>
      </c>
      <c r="D311" s="153" t="s">
        <v>159</v>
      </c>
      <c r="E311" s="221">
        <f>13210*(100%+20%)</f>
        <v>15852</v>
      </c>
      <c r="F311" s="221">
        <f t="shared" si="0"/>
        <v>19238.399999999998</v>
      </c>
      <c r="G311" s="223">
        <f t="shared" si="0"/>
        <v>19238.399999999998</v>
      </c>
      <c r="H311" s="174" t="s">
        <v>159</v>
      </c>
      <c r="I311" s="221">
        <f>16370*(100%+20%)</f>
        <v>19644</v>
      </c>
      <c r="J311" s="221">
        <f t="shared" si="1"/>
        <v>23030.399999999998</v>
      </c>
      <c r="K311" s="223">
        <f t="shared" si="1"/>
        <v>23030.399999999998</v>
      </c>
      <c r="L311" s="69"/>
      <c r="M311" s="44"/>
    </row>
    <row r="312" spans="1:13" ht="15" customHeight="1" thickBot="1">
      <c r="A312" s="87"/>
      <c r="B312" s="139" t="s">
        <v>1385</v>
      </c>
      <c r="C312" s="119" t="s">
        <v>0</v>
      </c>
      <c r="D312" s="157" t="s">
        <v>159</v>
      </c>
      <c r="E312" s="229">
        <f>13210*(100%+20%)</f>
        <v>15852</v>
      </c>
      <c r="F312" s="229">
        <f t="shared" si="0"/>
        <v>19238.399999999998</v>
      </c>
      <c r="G312" s="231">
        <f t="shared" si="0"/>
        <v>19238.399999999998</v>
      </c>
      <c r="H312" s="174" t="s">
        <v>159</v>
      </c>
      <c r="I312" s="229">
        <f>16370*(100%+20%)</f>
        <v>19644</v>
      </c>
      <c r="J312" s="229">
        <f t="shared" si="1"/>
        <v>23030.399999999998</v>
      </c>
      <c r="K312" s="231">
        <f t="shared" si="1"/>
        <v>23030.399999999998</v>
      </c>
      <c r="L312" s="69"/>
      <c r="M312" s="44"/>
    </row>
    <row r="313" spans="1:13" ht="21" customHeight="1" thickBot="1">
      <c r="A313" s="25"/>
      <c r="B313" s="319" t="s">
        <v>1404</v>
      </c>
      <c r="C313" s="320"/>
      <c r="D313" s="323"/>
      <c r="E313" s="323"/>
      <c r="F313" s="323"/>
      <c r="G313" s="323"/>
      <c r="H313" s="323"/>
      <c r="I313" s="323"/>
      <c r="J313" s="323"/>
      <c r="K313" s="324"/>
      <c r="L313" s="69"/>
      <c r="M313" s="44"/>
    </row>
    <row r="314" spans="1:13" ht="15" customHeight="1" thickBot="1">
      <c r="A314" s="25"/>
      <c r="B314" s="314" t="s">
        <v>2</v>
      </c>
      <c r="C314" s="312" t="s">
        <v>1379</v>
      </c>
      <c r="D314" s="316" t="s">
        <v>845</v>
      </c>
      <c r="E314" s="317"/>
      <c r="F314" s="317"/>
      <c r="G314" s="318"/>
      <c r="H314" s="316" t="s">
        <v>846</v>
      </c>
      <c r="I314" s="317"/>
      <c r="J314" s="317"/>
      <c r="K314" s="318"/>
      <c r="L314" s="69"/>
      <c r="M314" s="44"/>
    </row>
    <row r="315" spans="1:13" ht="15" customHeight="1" thickBot="1">
      <c r="A315" s="25"/>
      <c r="B315" s="364"/>
      <c r="C315" s="313"/>
      <c r="D315" s="106" t="s">
        <v>847</v>
      </c>
      <c r="E315" s="105" t="s">
        <v>4</v>
      </c>
      <c r="F315" s="103" t="s">
        <v>5</v>
      </c>
      <c r="G315" s="105" t="s">
        <v>1420</v>
      </c>
      <c r="H315" s="103" t="s">
        <v>847</v>
      </c>
      <c r="I315" s="105" t="s">
        <v>4</v>
      </c>
      <c r="J315" s="103" t="s">
        <v>5</v>
      </c>
      <c r="K315" s="105" t="s">
        <v>1420</v>
      </c>
      <c r="L315" s="69"/>
      <c r="M315" s="44"/>
    </row>
    <row r="316" spans="1:13" ht="15" customHeight="1">
      <c r="A316" s="25"/>
      <c r="B316" s="137" t="s">
        <v>60</v>
      </c>
      <c r="C316" s="117" t="s">
        <v>0</v>
      </c>
      <c r="D316" s="216">
        <f>4833*(100%+20%)</f>
        <v>5799.599999999999</v>
      </c>
      <c r="E316" s="232">
        <f>5721*(100%+20%)</f>
        <v>6865.2</v>
      </c>
      <c r="F316" s="217">
        <f>7251*(100%+20%)</f>
        <v>8701.199999999999</v>
      </c>
      <c r="G316" s="233">
        <f>7251*(100%+20%)</f>
        <v>8701.199999999999</v>
      </c>
      <c r="H316" s="216">
        <f>7993*(100%+20%)</f>
        <v>9591.6</v>
      </c>
      <c r="I316" s="232">
        <f>8881*(100%+20%)</f>
        <v>10657.199999999999</v>
      </c>
      <c r="J316" s="217">
        <f>10411*(100%+20%)</f>
        <v>12493.199999999999</v>
      </c>
      <c r="K316" s="234">
        <f>10411*(100%+20%)</f>
        <v>12493.199999999999</v>
      </c>
      <c r="L316" s="69"/>
      <c r="M316" s="44"/>
    </row>
    <row r="317" spans="1:13" ht="15" customHeight="1">
      <c r="A317" s="25"/>
      <c r="B317" s="138" t="s">
        <v>6</v>
      </c>
      <c r="C317" s="118" t="s">
        <v>0</v>
      </c>
      <c r="D317" s="220">
        <f>4124*(100%+20%)</f>
        <v>4948.8</v>
      </c>
      <c r="E317" s="221">
        <f>4934*(100%+20%)</f>
        <v>5920.8</v>
      </c>
      <c r="F317" s="221">
        <f>6328*(100%+20%)</f>
        <v>7593.599999999999</v>
      </c>
      <c r="G317" s="222">
        <f>6328*(100%+20%)</f>
        <v>7593.599999999999</v>
      </c>
      <c r="H317" s="220">
        <f>7284*(100%+20%)</f>
        <v>8740.8</v>
      </c>
      <c r="I317" s="221">
        <f>8095*(100%+20%)</f>
        <v>9714</v>
      </c>
      <c r="J317" s="221">
        <f>9489*(100%+20%)</f>
        <v>11386.8</v>
      </c>
      <c r="K317" s="223">
        <f>9489*(100%+20%)</f>
        <v>11386.8</v>
      </c>
      <c r="L317" s="69"/>
      <c r="M317" s="44"/>
    </row>
    <row r="318" spans="1:13" ht="15" customHeight="1">
      <c r="A318" s="25"/>
      <c r="B318" s="143" t="s">
        <v>7</v>
      </c>
      <c r="C318" s="118" t="s">
        <v>0</v>
      </c>
      <c r="D318" s="220">
        <f>6287*(100%+20%)</f>
        <v>7544.4</v>
      </c>
      <c r="E318" s="221">
        <f>7336*(100%+20%)</f>
        <v>8803.199999999999</v>
      </c>
      <c r="F318" s="221">
        <f>9145*(100%+20%)</f>
        <v>10974</v>
      </c>
      <c r="G318" s="222">
        <f>9145*(100%+20%)</f>
        <v>10974</v>
      </c>
      <c r="H318" s="220">
        <f>9446*(100%+20%)</f>
        <v>11335.199999999999</v>
      </c>
      <c r="I318" s="221">
        <f>10497*(100%+20%)</f>
        <v>12596.4</v>
      </c>
      <c r="J318" s="221">
        <f>12305*(100%+20%)</f>
        <v>14766</v>
      </c>
      <c r="K318" s="223">
        <f>12305*(100%+20%)</f>
        <v>14766</v>
      </c>
      <c r="L318" s="69"/>
      <c r="M318" s="44"/>
    </row>
    <row r="319" spans="1:13" ht="15" customHeight="1" thickBot="1">
      <c r="A319" s="25"/>
      <c r="B319" s="139" t="s">
        <v>763</v>
      </c>
      <c r="C319" s="119" t="s">
        <v>0</v>
      </c>
      <c r="D319" s="228">
        <f>6212*(100%+20%)</f>
        <v>7454.4</v>
      </c>
      <c r="E319" s="229">
        <f>7252*(100%+20%)</f>
        <v>8702.4</v>
      </c>
      <c r="F319" s="229">
        <f>9047*(100%+20%)</f>
        <v>10856.4</v>
      </c>
      <c r="G319" s="230">
        <f>9047*(100%+20%)</f>
        <v>10856.4</v>
      </c>
      <c r="H319" s="228">
        <f>9371*(100%+20%)</f>
        <v>11245.199999999999</v>
      </c>
      <c r="I319" s="229">
        <f>10412*(100%+20%)</f>
        <v>12494.4</v>
      </c>
      <c r="J319" s="229">
        <f>12207*(100%+20%)</f>
        <v>14648.4</v>
      </c>
      <c r="K319" s="231">
        <f>12207*(100%+20%)</f>
        <v>14648.4</v>
      </c>
      <c r="L319" s="69"/>
      <c r="M319" s="44"/>
    </row>
    <row r="320" spans="1:13" ht="21" customHeight="1" thickBot="1">
      <c r="A320" s="25"/>
      <c r="B320" s="319" t="s">
        <v>1405</v>
      </c>
      <c r="C320" s="320"/>
      <c r="D320" s="323"/>
      <c r="E320" s="323"/>
      <c r="F320" s="323"/>
      <c r="G320" s="323"/>
      <c r="H320" s="323"/>
      <c r="I320" s="323"/>
      <c r="J320" s="323"/>
      <c r="K320" s="324"/>
      <c r="L320" s="69"/>
      <c r="M320" s="44"/>
    </row>
    <row r="321" spans="1:13" ht="15" customHeight="1" thickBot="1">
      <c r="A321" s="25"/>
      <c r="B321" s="314" t="s">
        <v>2</v>
      </c>
      <c r="C321" s="312" t="s">
        <v>1379</v>
      </c>
      <c r="D321" s="316" t="s">
        <v>845</v>
      </c>
      <c r="E321" s="317"/>
      <c r="F321" s="317"/>
      <c r="G321" s="318"/>
      <c r="H321" s="316" t="s">
        <v>846</v>
      </c>
      <c r="I321" s="317"/>
      <c r="J321" s="317"/>
      <c r="K321" s="318"/>
      <c r="L321" s="69"/>
      <c r="M321" s="44"/>
    </row>
    <row r="322" spans="1:13" ht="15" customHeight="1" thickBot="1">
      <c r="A322" s="25"/>
      <c r="B322" s="364"/>
      <c r="C322" s="313"/>
      <c r="D322" s="106" t="s">
        <v>847</v>
      </c>
      <c r="E322" s="105" t="s">
        <v>4</v>
      </c>
      <c r="F322" s="103" t="s">
        <v>5</v>
      </c>
      <c r="G322" s="105" t="s">
        <v>1420</v>
      </c>
      <c r="H322" s="103" t="s">
        <v>847</v>
      </c>
      <c r="I322" s="105" t="s">
        <v>4</v>
      </c>
      <c r="J322" s="103" t="s">
        <v>5</v>
      </c>
      <c r="K322" s="105" t="s">
        <v>1420</v>
      </c>
      <c r="L322" s="69"/>
      <c r="M322" s="44"/>
    </row>
    <row r="323" spans="1:13" ht="15" customHeight="1">
      <c r="A323" s="25"/>
      <c r="B323" s="137" t="s">
        <v>60</v>
      </c>
      <c r="C323" s="117" t="s">
        <v>0</v>
      </c>
      <c r="D323" s="216">
        <f>4833*(100%+20%)</f>
        <v>5799.599999999999</v>
      </c>
      <c r="E323" s="232">
        <f>5721*(100%+20%)</f>
        <v>6865.2</v>
      </c>
      <c r="F323" s="217">
        <f>7251*(100%+20%)</f>
        <v>8701.199999999999</v>
      </c>
      <c r="G323" s="233">
        <f>7251*(100%+20%)</f>
        <v>8701.199999999999</v>
      </c>
      <c r="H323" s="216">
        <f>7993*(100%+20%)</f>
        <v>9591.6</v>
      </c>
      <c r="I323" s="232">
        <f>8881*(100%+20%)</f>
        <v>10657.199999999999</v>
      </c>
      <c r="J323" s="217">
        <f>10411*(100%+20%)</f>
        <v>12493.199999999999</v>
      </c>
      <c r="K323" s="234">
        <f>10411*(100%+20%)</f>
        <v>12493.199999999999</v>
      </c>
      <c r="L323" s="69"/>
      <c r="M323" s="44"/>
    </row>
    <row r="324" spans="1:13" ht="15" customHeight="1">
      <c r="A324" s="25"/>
      <c r="B324" s="138" t="s">
        <v>6</v>
      </c>
      <c r="C324" s="118" t="s">
        <v>0</v>
      </c>
      <c r="D324" s="220">
        <f>4124*(100%+20%)</f>
        <v>4948.8</v>
      </c>
      <c r="E324" s="221">
        <f>4934*(100%+20%)</f>
        <v>5920.8</v>
      </c>
      <c r="F324" s="221">
        <f>6328*(100%+20%)</f>
        <v>7593.599999999999</v>
      </c>
      <c r="G324" s="222">
        <f>6328*(100%+20%)</f>
        <v>7593.599999999999</v>
      </c>
      <c r="H324" s="220">
        <f>7284*(100%+20%)</f>
        <v>8740.8</v>
      </c>
      <c r="I324" s="221">
        <f>8095*(100%+20%)</f>
        <v>9714</v>
      </c>
      <c r="J324" s="221">
        <f>9489*(100%+20%)</f>
        <v>11386.8</v>
      </c>
      <c r="K324" s="223">
        <f>9489*(100%+20%)</f>
        <v>11386.8</v>
      </c>
      <c r="L324" s="69"/>
      <c r="M324" s="44"/>
    </row>
    <row r="325" spans="1:13" ht="15" customHeight="1">
      <c r="A325" s="25"/>
      <c r="B325" s="143" t="s">
        <v>7</v>
      </c>
      <c r="C325" s="118" t="s">
        <v>0</v>
      </c>
      <c r="D325" s="220">
        <f>6287*(100%+20%)</f>
        <v>7544.4</v>
      </c>
      <c r="E325" s="221">
        <f>7336*(100%+20%)</f>
        <v>8803.199999999999</v>
      </c>
      <c r="F325" s="221">
        <f>9145*(100%+20%)</f>
        <v>10974</v>
      </c>
      <c r="G325" s="222">
        <f>9145*(100%+20%)</f>
        <v>10974</v>
      </c>
      <c r="H325" s="220">
        <f>9446*(100%+20%)</f>
        <v>11335.199999999999</v>
      </c>
      <c r="I325" s="221">
        <f>10497*(100%+20%)</f>
        <v>12596.4</v>
      </c>
      <c r="J325" s="221">
        <f>12305*(100%+20%)</f>
        <v>14766</v>
      </c>
      <c r="K325" s="223">
        <f>12305*(100%+20%)</f>
        <v>14766</v>
      </c>
      <c r="L325" s="69"/>
      <c r="M325" s="44"/>
    </row>
    <row r="326" spans="1:13" ht="15" customHeight="1" thickBot="1">
      <c r="A326" s="25"/>
      <c r="B326" s="139" t="s">
        <v>763</v>
      </c>
      <c r="C326" s="118" t="s">
        <v>0</v>
      </c>
      <c r="D326" s="228">
        <f>6212*(100%+20%)</f>
        <v>7454.4</v>
      </c>
      <c r="E326" s="229">
        <f>7252*(100%+20%)</f>
        <v>8702.4</v>
      </c>
      <c r="F326" s="229">
        <f>9047*(100%+20%)</f>
        <v>10856.4</v>
      </c>
      <c r="G326" s="230">
        <f>9047*(100%+20%)</f>
        <v>10856.4</v>
      </c>
      <c r="H326" s="228">
        <f>9371*(100%+20%)</f>
        <v>11245.199999999999</v>
      </c>
      <c r="I326" s="229">
        <f>10412*(100%+20%)</f>
        <v>12494.4</v>
      </c>
      <c r="J326" s="229">
        <f>12207*(100%+20%)</f>
        <v>14648.4</v>
      </c>
      <c r="K326" s="231">
        <f>12207*(100%+20%)</f>
        <v>14648.4</v>
      </c>
      <c r="L326" s="69"/>
      <c r="M326" s="44"/>
    </row>
    <row r="327" spans="2:11" ht="21" customHeight="1" thickBot="1">
      <c r="B327" s="319" t="s">
        <v>1422</v>
      </c>
      <c r="C327" s="328"/>
      <c r="D327" s="329"/>
      <c r="E327" s="329"/>
      <c r="F327" s="329"/>
      <c r="G327" s="329"/>
      <c r="H327" s="329"/>
      <c r="I327" s="329"/>
      <c r="J327" s="329"/>
      <c r="K327" s="330"/>
    </row>
    <row r="328" spans="1:11" ht="15" customHeight="1" thickBot="1">
      <c r="A328" s="18"/>
      <c r="B328" s="314" t="s">
        <v>2</v>
      </c>
      <c r="C328" s="312" t="s">
        <v>1379</v>
      </c>
      <c r="D328" s="316" t="s">
        <v>845</v>
      </c>
      <c r="E328" s="317"/>
      <c r="F328" s="317"/>
      <c r="G328" s="318"/>
      <c r="H328" s="316" t="s">
        <v>846</v>
      </c>
      <c r="I328" s="317"/>
      <c r="J328" s="317"/>
      <c r="K328" s="318"/>
    </row>
    <row r="329" spans="1:11" ht="15" customHeight="1" thickBot="1">
      <c r="A329" s="18"/>
      <c r="B329" s="364"/>
      <c r="C329" s="313"/>
      <c r="D329" s="106" t="s">
        <v>847</v>
      </c>
      <c r="E329" s="105" t="s">
        <v>4</v>
      </c>
      <c r="F329" s="103" t="s">
        <v>5</v>
      </c>
      <c r="G329" s="105" t="s">
        <v>1420</v>
      </c>
      <c r="H329" s="103" t="s">
        <v>847</v>
      </c>
      <c r="I329" s="105" t="s">
        <v>4</v>
      </c>
      <c r="J329" s="103" t="s">
        <v>5</v>
      </c>
      <c r="K329" s="105" t="s">
        <v>1420</v>
      </c>
    </row>
    <row r="330" spans="1:11" ht="15" customHeight="1">
      <c r="A330" s="18"/>
      <c r="B330" s="144" t="s">
        <v>60</v>
      </c>
      <c r="C330" s="125" t="s">
        <v>0</v>
      </c>
      <c r="D330" s="216">
        <f>5861*(100%+20%)</f>
        <v>7033.2</v>
      </c>
      <c r="E330" s="232">
        <f>6862*(100%+20%)</f>
        <v>8234.4</v>
      </c>
      <c r="F330" s="217">
        <f>8592*(100%+20%)</f>
        <v>10310.4</v>
      </c>
      <c r="G330" s="233">
        <f>8592*(100%+20%)</f>
        <v>10310.4</v>
      </c>
      <c r="H330" s="216">
        <f>9022*(100%+20%)</f>
        <v>10826.4</v>
      </c>
      <c r="I330" s="232">
        <f>10023*(100%+20%)</f>
        <v>12027.6</v>
      </c>
      <c r="J330" s="217">
        <f>11751*(100%+20%)</f>
        <v>14101.199999999999</v>
      </c>
      <c r="K330" s="234">
        <f>11751*(100%+20%)</f>
        <v>14101.199999999999</v>
      </c>
    </row>
    <row r="331" spans="1:11" ht="15" customHeight="1" thickBot="1">
      <c r="A331" s="18"/>
      <c r="B331" s="138" t="s">
        <v>7</v>
      </c>
      <c r="C331" s="121" t="s">
        <v>0</v>
      </c>
      <c r="D331" s="220">
        <f>7374*(100%+20%)</f>
        <v>8848.8</v>
      </c>
      <c r="E331" s="221">
        <f>8545*(100%+20%)</f>
        <v>10254</v>
      </c>
      <c r="F331" s="221">
        <f>10561*(100%+20%)</f>
        <v>12673.199999999999</v>
      </c>
      <c r="G331" s="222">
        <f>10561*(100%+20%)</f>
        <v>12673.199999999999</v>
      </c>
      <c r="H331" s="220">
        <f>10535*(100%+20%)</f>
        <v>12642</v>
      </c>
      <c r="I331" s="221">
        <f>11705*(100%+20%)</f>
        <v>14046</v>
      </c>
      <c r="J331" s="221">
        <f>13722*(100%+20%)</f>
        <v>16466.399999999998</v>
      </c>
      <c r="K331" s="223">
        <f>13722*(100%+20%)</f>
        <v>16466.399999999998</v>
      </c>
    </row>
    <row r="332" spans="1:13" ht="15" customHeight="1">
      <c r="A332" s="80" t="s">
        <v>1066</v>
      </c>
      <c r="B332" s="138" t="s">
        <v>763</v>
      </c>
      <c r="C332" s="126" t="s">
        <v>0</v>
      </c>
      <c r="D332" s="220">
        <f>7374*(100%+20%)</f>
        <v>8848.8</v>
      </c>
      <c r="E332" s="221">
        <f>8545*(100%+20%)</f>
        <v>10254</v>
      </c>
      <c r="F332" s="221">
        <f>10561*(100%+20%)</f>
        <v>12673.199999999999</v>
      </c>
      <c r="G332" s="222">
        <f>10561*(100%+20%)</f>
        <v>12673.199999999999</v>
      </c>
      <c r="H332" s="220">
        <f>10535*(100%+20%)</f>
        <v>12642</v>
      </c>
      <c r="I332" s="221">
        <f>11705*(100%+20%)</f>
        <v>14046</v>
      </c>
      <c r="J332" s="221">
        <f>13722*(100%+20%)</f>
        <v>16466.399999999998</v>
      </c>
      <c r="K332" s="223">
        <f>13722*(100%+20%)</f>
        <v>16466.399999999998</v>
      </c>
      <c r="L332" s="69"/>
      <c r="M332" s="44"/>
    </row>
    <row r="333" spans="1:13" ht="15" customHeight="1">
      <c r="A333" s="81" t="s">
        <v>1067</v>
      </c>
      <c r="B333" s="143" t="s">
        <v>6</v>
      </c>
      <c r="C333" s="118" t="s">
        <v>0</v>
      </c>
      <c r="D333" s="220">
        <f>5041*(100%+20%)</f>
        <v>6049.2</v>
      </c>
      <c r="E333" s="221">
        <f>5952*(100%+20%)</f>
        <v>7142.4</v>
      </c>
      <c r="F333" s="221">
        <f>7523*(100%+20%)</f>
        <v>9027.6</v>
      </c>
      <c r="G333" s="222">
        <f>7523*(100%+20%)</f>
        <v>9027.6</v>
      </c>
      <c r="H333" s="220">
        <f>8200*(100%+20%)</f>
        <v>9840</v>
      </c>
      <c r="I333" s="221">
        <f>9112*(100%+20%)</f>
        <v>10934.4</v>
      </c>
      <c r="J333" s="221">
        <f>10683*(100%+20%)</f>
        <v>12819.6</v>
      </c>
      <c r="K333" s="223">
        <f>10683*(100%+20%)</f>
        <v>12819.6</v>
      </c>
      <c r="L333" s="69"/>
      <c r="M333" s="44"/>
    </row>
    <row r="334" spans="1:13" ht="15" customHeight="1">
      <c r="A334" s="81"/>
      <c r="B334" s="143" t="s">
        <v>11</v>
      </c>
      <c r="C334" s="118" t="s">
        <v>1425</v>
      </c>
      <c r="D334" s="220">
        <f>9347*(100%+20%)</f>
        <v>11216.4</v>
      </c>
      <c r="E334" s="221">
        <f>9347*(100%+20%)</f>
        <v>11216.4</v>
      </c>
      <c r="F334" s="221">
        <f>11220*(100%+20%)</f>
        <v>13464</v>
      </c>
      <c r="G334" s="222">
        <f>11220*(100%+20%)</f>
        <v>13464</v>
      </c>
      <c r="H334" s="220">
        <f>10865*(100%+20%)</f>
        <v>13038</v>
      </c>
      <c r="I334" s="221">
        <f>10865*(100%+20%)</f>
        <v>13038</v>
      </c>
      <c r="J334" s="221">
        <f>12737*(100%+20%)</f>
        <v>15284.4</v>
      </c>
      <c r="K334" s="223">
        <f>12737*(100%+20%)</f>
        <v>15284.4</v>
      </c>
      <c r="L334" s="69"/>
      <c r="M334" s="44"/>
    </row>
    <row r="335" spans="1:13" ht="15" customHeight="1">
      <c r="A335" s="81"/>
      <c r="B335" s="143" t="s">
        <v>1423</v>
      </c>
      <c r="C335" s="118" t="s">
        <v>1425</v>
      </c>
      <c r="D335" s="220">
        <f>8539*(100%+20%)</f>
        <v>10246.8</v>
      </c>
      <c r="E335" s="221">
        <f>8539*(100%+20%)</f>
        <v>10246.8</v>
      </c>
      <c r="F335" s="221">
        <f>10272*(100%+20%)</f>
        <v>12326.4</v>
      </c>
      <c r="G335" s="222">
        <f>10272*(100%+20%)</f>
        <v>12326.4</v>
      </c>
      <c r="H335" s="220">
        <f>10055*(100%+20%)</f>
        <v>12066</v>
      </c>
      <c r="I335" s="221">
        <f>10055*(100%+20%)</f>
        <v>12066</v>
      </c>
      <c r="J335" s="221">
        <f>11788*(100%+20%)</f>
        <v>14145.6</v>
      </c>
      <c r="K335" s="223">
        <f>11788*(100%+20%)</f>
        <v>14145.6</v>
      </c>
      <c r="L335" s="69"/>
      <c r="M335" s="44"/>
    </row>
    <row r="336" spans="1:13" ht="15" customHeight="1">
      <c r="A336" s="81"/>
      <c r="B336" s="143" t="s">
        <v>10</v>
      </c>
      <c r="C336" s="118" t="s">
        <v>1425</v>
      </c>
      <c r="D336" s="220">
        <f>4360*(100%+20%)</f>
        <v>5232</v>
      </c>
      <c r="E336" s="221">
        <f>4360*(100%+20%)</f>
        <v>5232</v>
      </c>
      <c r="F336" s="221">
        <f>5375*(100%+20%)</f>
        <v>6450</v>
      </c>
      <c r="G336" s="222">
        <f>5375*(100%+20%)</f>
        <v>6450</v>
      </c>
      <c r="H336" s="220">
        <f>5878*(100%+20%)</f>
        <v>7053.599999999999</v>
      </c>
      <c r="I336" s="221">
        <f>5878*(100%+20%)</f>
        <v>7053.599999999999</v>
      </c>
      <c r="J336" s="221">
        <f>6892*(100%+20%)</f>
        <v>8270.4</v>
      </c>
      <c r="K336" s="223">
        <f>6892*(100%+20%)</f>
        <v>8270.4</v>
      </c>
      <c r="L336" s="69"/>
      <c r="M336" s="44"/>
    </row>
    <row r="337" spans="1:13" ht="15" customHeight="1">
      <c r="A337" s="81"/>
      <c r="B337" s="143" t="s">
        <v>1424</v>
      </c>
      <c r="C337" s="118" t="s">
        <v>1425</v>
      </c>
      <c r="D337" s="220">
        <f>1149*(100%+20%)</f>
        <v>1378.8</v>
      </c>
      <c r="E337" s="221">
        <f>1446*(100%+20%)</f>
        <v>1735.2</v>
      </c>
      <c r="F337" s="221">
        <f>1957*(100%+20%)</f>
        <v>2348.4</v>
      </c>
      <c r="G337" s="222">
        <f>1957*(100%+20%)</f>
        <v>2348.4</v>
      </c>
      <c r="H337" s="220">
        <f>2667*(100%+20%)</f>
        <v>3200.4</v>
      </c>
      <c r="I337" s="221">
        <f>2963*(100%+20%)</f>
        <v>3555.6</v>
      </c>
      <c r="J337" s="221">
        <f>3474*(100%+20%)</f>
        <v>4168.8</v>
      </c>
      <c r="K337" s="223">
        <f>3474*(100%+20%)</f>
        <v>4168.8</v>
      </c>
      <c r="L337" s="69"/>
      <c r="M337" s="44"/>
    </row>
    <row r="338" spans="1:13" ht="15" customHeight="1" thickBot="1">
      <c r="A338" s="81"/>
      <c r="B338" s="139" t="s">
        <v>61</v>
      </c>
      <c r="C338" s="119" t="s">
        <v>0</v>
      </c>
      <c r="D338" s="228">
        <f>5861*(100%+20%)</f>
        <v>7033.2</v>
      </c>
      <c r="E338" s="229">
        <f>6862*(100%+20%)</f>
        <v>8234.4</v>
      </c>
      <c r="F338" s="229">
        <f>8592*(100%+20%)</f>
        <v>10310.4</v>
      </c>
      <c r="G338" s="230">
        <f>8592*(100%+20%)</f>
        <v>10310.4</v>
      </c>
      <c r="H338" s="228">
        <f>9022*(100%+20%)</f>
        <v>10826.4</v>
      </c>
      <c r="I338" s="229">
        <f>10023*(100%+20%)</f>
        <v>12027.6</v>
      </c>
      <c r="J338" s="229">
        <f>11751*(100%+20%)</f>
        <v>14101.199999999999</v>
      </c>
      <c r="K338" s="231">
        <f>11751*(100%+20%)</f>
        <v>14101.199999999999</v>
      </c>
      <c r="L338" s="69"/>
      <c r="M338" s="44"/>
    </row>
    <row r="339" spans="1:13" ht="21" customHeight="1" thickBot="1">
      <c r="A339" s="81" t="s">
        <v>1068</v>
      </c>
      <c r="B339" s="319" t="s">
        <v>1426</v>
      </c>
      <c r="C339" s="320"/>
      <c r="D339" s="323"/>
      <c r="E339" s="323"/>
      <c r="F339" s="323"/>
      <c r="G339" s="323"/>
      <c r="H339" s="323"/>
      <c r="I339" s="323"/>
      <c r="J339" s="323"/>
      <c r="K339" s="324"/>
      <c r="L339" s="69"/>
      <c r="M339" s="44"/>
    </row>
    <row r="340" spans="1:13" ht="15" customHeight="1" thickBot="1">
      <c r="A340" s="27"/>
      <c r="B340" s="314" t="s">
        <v>2</v>
      </c>
      <c r="C340" s="312" t="s">
        <v>1379</v>
      </c>
      <c r="D340" s="316" t="s">
        <v>845</v>
      </c>
      <c r="E340" s="317"/>
      <c r="F340" s="317"/>
      <c r="G340" s="318"/>
      <c r="H340" s="316" t="s">
        <v>846</v>
      </c>
      <c r="I340" s="317"/>
      <c r="J340" s="317"/>
      <c r="K340" s="318"/>
      <c r="L340" s="69"/>
      <c r="M340" s="44"/>
    </row>
    <row r="341" spans="1:13" ht="15" customHeight="1" thickBot="1">
      <c r="A341" s="27"/>
      <c r="B341" s="364"/>
      <c r="C341" s="313"/>
      <c r="D341" s="106" t="s">
        <v>847</v>
      </c>
      <c r="E341" s="105" t="s">
        <v>4</v>
      </c>
      <c r="F341" s="103" t="s">
        <v>5</v>
      </c>
      <c r="G341" s="105" t="s">
        <v>1420</v>
      </c>
      <c r="H341" s="103" t="s">
        <v>847</v>
      </c>
      <c r="I341" s="105" t="s">
        <v>4</v>
      </c>
      <c r="J341" s="103" t="s">
        <v>5</v>
      </c>
      <c r="K341" s="105" t="s">
        <v>1420</v>
      </c>
      <c r="L341" s="69"/>
      <c r="M341" s="44"/>
    </row>
    <row r="342" spans="1:13" ht="15" customHeight="1">
      <c r="A342" s="27" t="s">
        <v>1069</v>
      </c>
      <c r="B342" s="137" t="s">
        <v>1427</v>
      </c>
      <c r="C342" s="117" t="s">
        <v>0</v>
      </c>
      <c r="D342" s="216">
        <f>5814*(100%+20%)</f>
        <v>6976.8</v>
      </c>
      <c r="E342" s="232">
        <f>7510*(100%+20%)</f>
        <v>9012</v>
      </c>
      <c r="F342" s="217">
        <f>9348*(100%+20%)</f>
        <v>11217.6</v>
      </c>
      <c r="G342" s="233">
        <f>9348*(100%+20%)</f>
        <v>11217.6</v>
      </c>
      <c r="H342" s="216">
        <f>8974*(100%+20%)</f>
        <v>10768.8</v>
      </c>
      <c r="I342" s="232">
        <f>10670*(100%+20%)</f>
        <v>12804</v>
      </c>
      <c r="J342" s="217">
        <f>12508*(100%+20%)</f>
        <v>15009.599999999999</v>
      </c>
      <c r="K342" s="234">
        <f>12508*(100%+20%)</f>
        <v>15009.599999999999</v>
      </c>
      <c r="L342" s="69"/>
      <c r="M342" s="44"/>
    </row>
    <row r="343" spans="1:13" ht="15" customHeight="1">
      <c r="A343" s="27"/>
      <c r="B343" s="138" t="s">
        <v>60</v>
      </c>
      <c r="C343" s="118" t="s">
        <v>0</v>
      </c>
      <c r="D343" s="220">
        <f>4999*(100%+20%)</f>
        <v>5998.8</v>
      </c>
      <c r="E343" s="221">
        <f>6539*(100%+20%)</f>
        <v>7846.799999999999</v>
      </c>
      <c r="F343" s="221">
        <f>8210*(100%+20%)</f>
        <v>9852</v>
      </c>
      <c r="G343" s="222">
        <f>8210*(100%+20%)</f>
        <v>9852</v>
      </c>
      <c r="H343" s="220">
        <f>8159*(100%+20%)</f>
        <v>9790.8</v>
      </c>
      <c r="I343" s="221">
        <f>9700*(100%+20%)</f>
        <v>11640</v>
      </c>
      <c r="J343" s="221">
        <f>11370*(100%+20%)</f>
        <v>13644</v>
      </c>
      <c r="K343" s="223">
        <f>11370*(100%+20%)</f>
        <v>13644</v>
      </c>
      <c r="L343" s="69"/>
      <c r="M343" s="44"/>
    </row>
    <row r="344" spans="1:13" ht="15" customHeight="1">
      <c r="A344" s="27"/>
      <c r="B344" s="138" t="s">
        <v>1428</v>
      </c>
      <c r="C344" s="118" t="s">
        <v>0</v>
      </c>
      <c r="D344" s="220">
        <f>5002*(100%+20%)</f>
        <v>6002.4</v>
      </c>
      <c r="E344" s="221">
        <f>6545*(100%+20%)</f>
        <v>7854</v>
      </c>
      <c r="F344" s="221">
        <f>8219*(100%+20%)</f>
        <v>9862.8</v>
      </c>
      <c r="G344" s="222">
        <f>8219*(100%+20%)</f>
        <v>9862.8</v>
      </c>
      <c r="H344" s="220">
        <f>8164*(100%+20%)</f>
        <v>9796.8</v>
      </c>
      <c r="I344" s="221">
        <f>9706*(100%+20%)</f>
        <v>11647.199999999999</v>
      </c>
      <c r="J344" s="221">
        <f>11379*(100%+20%)</f>
        <v>13654.8</v>
      </c>
      <c r="K344" s="223">
        <f>11379*(100%+20%)</f>
        <v>13654.8</v>
      </c>
      <c r="L344" s="69"/>
      <c r="M344" s="44"/>
    </row>
    <row r="345" spans="1:13" ht="15" customHeight="1" thickBot="1">
      <c r="A345" s="27" t="s">
        <v>1070</v>
      </c>
      <c r="B345" s="139" t="s">
        <v>6</v>
      </c>
      <c r="C345" s="119" t="s">
        <v>0</v>
      </c>
      <c r="D345" s="228">
        <f>4261*(100%+20%)</f>
        <v>5113.2</v>
      </c>
      <c r="E345" s="229">
        <f>5663*(100%+20%)</f>
        <v>6795.599999999999</v>
      </c>
      <c r="F345" s="229">
        <f>7183*(100%+20%)</f>
        <v>8619.6</v>
      </c>
      <c r="G345" s="230">
        <f>7183*(100%+20%)</f>
        <v>8619.6</v>
      </c>
      <c r="H345" s="228">
        <f>7422*(100%+20%)</f>
        <v>8906.4</v>
      </c>
      <c r="I345" s="229">
        <f>8823*(100%+20%)</f>
        <v>10587.6</v>
      </c>
      <c r="J345" s="229">
        <f>10343*(100%+20%)</f>
        <v>12411.6</v>
      </c>
      <c r="K345" s="231">
        <f>10343*(100%+20%)</f>
        <v>12411.6</v>
      </c>
      <c r="L345" s="69"/>
      <c r="M345" s="44"/>
    </row>
    <row r="346" spans="1:13" ht="21" customHeight="1" thickBot="1">
      <c r="A346" s="81" t="s">
        <v>1071</v>
      </c>
      <c r="B346" s="319" t="s">
        <v>1429</v>
      </c>
      <c r="C346" s="328"/>
      <c r="D346" s="331"/>
      <c r="E346" s="331"/>
      <c r="F346" s="331"/>
      <c r="G346" s="331"/>
      <c r="H346" s="331"/>
      <c r="I346" s="331"/>
      <c r="J346" s="331"/>
      <c r="K346" s="332"/>
      <c r="L346" s="69"/>
      <c r="M346" s="44"/>
    </row>
    <row r="347" spans="1:13" ht="15" customHeight="1" thickBot="1">
      <c r="A347" s="27"/>
      <c r="B347" s="314" t="s">
        <v>2</v>
      </c>
      <c r="C347" s="312" t="s">
        <v>1379</v>
      </c>
      <c r="D347" s="316" t="s">
        <v>845</v>
      </c>
      <c r="E347" s="317"/>
      <c r="F347" s="317"/>
      <c r="G347" s="318"/>
      <c r="H347" s="316" t="s">
        <v>846</v>
      </c>
      <c r="I347" s="317"/>
      <c r="J347" s="317"/>
      <c r="K347" s="318"/>
      <c r="L347" s="69"/>
      <c r="M347" s="44"/>
    </row>
    <row r="348" spans="1:13" ht="15" customHeight="1" thickBot="1">
      <c r="A348" s="27" t="s">
        <v>1072</v>
      </c>
      <c r="B348" s="364"/>
      <c r="C348" s="313"/>
      <c r="D348" s="106" t="s">
        <v>847</v>
      </c>
      <c r="E348" s="105" t="s">
        <v>4</v>
      </c>
      <c r="F348" s="103" t="s">
        <v>5</v>
      </c>
      <c r="G348" s="105" t="s">
        <v>1420</v>
      </c>
      <c r="H348" s="103" t="s">
        <v>847</v>
      </c>
      <c r="I348" s="105" t="s">
        <v>4</v>
      </c>
      <c r="J348" s="103" t="s">
        <v>5</v>
      </c>
      <c r="K348" s="105" t="s">
        <v>1420</v>
      </c>
      <c r="L348" s="69"/>
      <c r="M348" s="44"/>
    </row>
    <row r="349" spans="1:13" ht="15" customHeight="1">
      <c r="A349" s="27" t="s">
        <v>1073</v>
      </c>
      <c r="B349" s="137" t="s">
        <v>60</v>
      </c>
      <c r="C349" s="117" t="s">
        <v>0</v>
      </c>
      <c r="D349" s="216">
        <f>5861*(100%+20%)</f>
        <v>7033.2</v>
      </c>
      <c r="E349" s="232">
        <f>6862*(100%+20%)</f>
        <v>8234.4</v>
      </c>
      <c r="F349" s="217">
        <f>8592*(100%+20%)</f>
        <v>10310.4</v>
      </c>
      <c r="G349" s="233">
        <f>8592*(100%+20%)</f>
        <v>10310.4</v>
      </c>
      <c r="H349" s="216">
        <f>9022*(100%+20%)</f>
        <v>10826.4</v>
      </c>
      <c r="I349" s="232">
        <f>10023*(100%+20%)</f>
        <v>12027.6</v>
      </c>
      <c r="J349" s="217">
        <f>11751*(100%+20%)</f>
        <v>14101.199999999999</v>
      </c>
      <c r="K349" s="234">
        <f>11751*(100%+20%)</f>
        <v>14101.199999999999</v>
      </c>
      <c r="L349" s="69"/>
      <c r="M349" s="44"/>
    </row>
    <row r="350" spans="1:13" ht="15" customHeight="1">
      <c r="A350" s="28" t="s">
        <v>1074</v>
      </c>
      <c r="B350" s="138" t="s">
        <v>7</v>
      </c>
      <c r="C350" s="118" t="s">
        <v>0</v>
      </c>
      <c r="D350" s="220">
        <f>7374*(100%+20%)</f>
        <v>8848.8</v>
      </c>
      <c r="E350" s="221">
        <f>8545*(100%+20%)</f>
        <v>10254</v>
      </c>
      <c r="F350" s="221">
        <f>10561*(100%+20%)</f>
        <v>12673.199999999999</v>
      </c>
      <c r="G350" s="222">
        <f>10561*(100%+20%)</f>
        <v>12673.199999999999</v>
      </c>
      <c r="H350" s="220">
        <f>10535*(100%+20%)</f>
        <v>12642</v>
      </c>
      <c r="I350" s="221">
        <f>11705*(100%+20%)</f>
        <v>14046</v>
      </c>
      <c r="J350" s="221">
        <f>13722*(100%+20%)</f>
        <v>16466.399999999998</v>
      </c>
      <c r="K350" s="223">
        <f>13722*(100%+20%)</f>
        <v>16466.399999999998</v>
      </c>
      <c r="L350" s="69"/>
      <c r="M350" s="44"/>
    </row>
    <row r="351" spans="1:13" ht="15" customHeight="1">
      <c r="A351" s="28"/>
      <c r="B351" s="138" t="s">
        <v>763</v>
      </c>
      <c r="C351" s="118" t="s">
        <v>0</v>
      </c>
      <c r="D351" s="220">
        <f>7374*(100%+20%)</f>
        <v>8848.8</v>
      </c>
      <c r="E351" s="221">
        <f>8545*(100%+20%)</f>
        <v>10254</v>
      </c>
      <c r="F351" s="221">
        <f>10561*(100%+20%)</f>
        <v>12673.199999999999</v>
      </c>
      <c r="G351" s="222">
        <f>10561*(100%+20%)</f>
        <v>12673.199999999999</v>
      </c>
      <c r="H351" s="220">
        <f>10535*(100%+20%)</f>
        <v>12642</v>
      </c>
      <c r="I351" s="221">
        <f>11705*(100%+20%)</f>
        <v>14046</v>
      </c>
      <c r="J351" s="221">
        <f>13722*(100%+20%)</f>
        <v>16466.399999999998</v>
      </c>
      <c r="K351" s="223">
        <f>13722*(100%+20%)</f>
        <v>16466.399999999998</v>
      </c>
      <c r="L351" s="69"/>
      <c r="M351" s="44"/>
    </row>
    <row r="352" spans="1:13" ht="15" customHeight="1">
      <c r="A352" s="28"/>
      <c r="B352" s="143" t="s">
        <v>6</v>
      </c>
      <c r="C352" s="118" t="s">
        <v>0</v>
      </c>
      <c r="D352" s="220">
        <f>5041*(100%+20%)</f>
        <v>6049.2</v>
      </c>
      <c r="E352" s="221">
        <f>5952*(100%+20%)</f>
        <v>7142.4</v>
      </c>
      <c r="F352" s="221">
        <f>7523*(100%+20%)</f>
        <v>9027.6</v>
      </c>
      <c r="G352" s="222">
        <f>7523*(100%+20%)</f>
        <v>9027.6</v>
      </c>
      <c r="H352" s="220">
        <f>8200*(100%+20%)</f>
        <v>9840</v>
      </c>
      <c r="I352" s="221">
        <f>9112*(100%+20%)</f>
        <v>10934.4</v>
      </c>
      <c r="J352" s="221">
        <f>10683*(100%+20%)</f>
        <v>12819.6</v>
      </c>
      <c r="K352" s="223">
        <f>10683*(100%+20%)</f>
        <v>12819.6</v>
      </c>
      <c r="L352" s="69"/>
      <c r="M352" s="44"/>
    </row>
    <row r="353" spans="1:13" ht="15" customHeight="1">
      <c r="A353" s="28"/>
      <c r="B353" s="143" t="s">
        <v>11</v>
      </c>
      <c r="C353" s="118" t="s">
        <v>1425</v>
      </c>
      <c r="D353" s="220">
        <f>9347*(100%+20%)</f>
        <v>11216.4</v>
      </c>
      <c r="E353" s="221">
        <f>9347*(100%+20%)</f>
        <v>11216.4</v>
      </c>
      <c r="F353" s="221">
        <f>11220*(100%+20%)</f>
        <v>13464</v>
      </c>
      <c r="G353" s="222">
        <f>11220*(100%+20%)</f>
        <v>13464</v>
      </c>
      <c r="H353" s="220">
        <f>10865*(100%+20%)</f>
        <v>13038</v>
      </c>
      <c r="I353" s="221">
        <f>10865*(100%+20%)</f>
        <v>13038</v>
      </c>
      <c r="J353" s="221">
        <f>12737*(100%+20%)</f>
        <v>15284.4</v>
      </c>
      <c r="K353" s="223">
        <f>12737*(100%+20%)</f>
        <v>15284.4</v>
      </c>
      <c r="L353" s="69"/>
      <c r="M353" s="44"/>
    </row>
    <row r="354" spans="1:13" ht="15" customHeight="1">
      <c r="A354" s="28"/>
      <c r="B354" s="143" t="s">
        <v>8</v>
      </c>
      <c r="C354" s="118" t="s">
        <v>1425</v>
      </c>
      <c r="D354" s="220">
        <f>8539*(100%+20%)</f>
        <v>10246.8</v>
      </c>
      <c r="E354" s="221">
        <f>8539*(100%+20%)</f>
        <v>10246.8</v>
      </c>
      <c r="F354" s="221">
        <f>10272*(100%+20%)</f>
        <v>12326.4</v>
      </c>
      <c r="G354" s="222">
        <f>10272*(100%+20%)</f>
        <v>12326.4</v>
      </c>
      <c r="H354" s="220">
        <f>10055*(100%+20%)</f>
        <v>12066</v>
      </c>
      <c r="I354" s="221">
        <f>10055*(100%+20%)</f>
        <v>12066</v>
      </c>
      <c r="J354" s="221">
        <f>11788*(100%+20%)</f>
        <v>14145.6</v>
      </c>
      <c r="K354" s="223">
        <f>11788*(100%+20%)</f>
        <v>14145.6</v>
      </c>
      <c r="L354" s="69"/>
      <c r="M354" s="44"/>
    </row>
    <row r="355" spans="1:13" ht="15" customHeight="1">
      <c r="A355" s="28"/>
      <c r="B355" s="143" t="s">
        <v>10</v>
      </c>
      <c r="C355" s="118" t="s">
        <v>1425</v>
      </c>
      <c r="D355" s="220">
        <f>4360*(100%+20%)</f>
        <v>5232</v>
      </c>
      <c r="E355" s="221">
        <f>4360*(100%+20%)</f>
        <v>5232</v>
      </c>
      <c r="F355" s="221">
        <f>5375*(100%+20%)</f>
        <v>6450</v>
      </c>
      <c r="G355" s="222">
        <f>5375*(100%+20%)</f>
        <v>6450</v>
      </c>
      <c r="H355" s="220">
        <f>5878*(100%+20%)</f>
        <v>7053.599999999999</v>
      </c>
      <c r="I355" s="221">
        <f>5878*(100%+20%)</f>
        <v>7053.599999999999</v>
      </c>
      <c r="J355" s="221">
        <f>6892*(100%+20%)</f>
        <v>8270.4</v>
      </c>
      <c r="K355" s="223">
        <f>6892*(100%+20%)</f>
        <v>8270.4</v>
      </c>
      <c r="L355" s="69"/>
      <c r="M355" s="44"/>
    </row>
    <row r="356" spans="1:13" ht="15" customHeight="1" thickBot="1">
      <c r="A356" s="28"/>
      <c r="B356" s="139" t="s">
        <v>61</v>
      </c>
      <c r="C356" s="119" t="s">
        <v>0</v>
      </c>
      <c r="D356" s="228">
        <f>5861*(100%+20%)</f>
        <v>7033.2</v>
      </c>
      <c r="E356" s="229">
        <f>6862*(100%+20%)</f>
        <v>8234.4</v>
      </c>
      <c r="F356" s="229">
        <f>8592*(100%+20%)</f>
        <v>10310.4</v>
      </c>
      <c r="G356" s="230">
        <f>8592*(100%+20%)</f>
        <v>10310.4</v>
      </c>
      <c r="H356" s="228">
        <f>9022*(100%+20%)</f>
        <v>10826.4</v>
      </c>
      <c r="I356" s="229">
        <f>10023*(100%+20%)</f>
        <v>12027.6</v>
      </c>
      <c r="J356" s="229">
        <f>11751*(100%+20%)</f>
        <v>14101.199999999999</v>
      </c>
      <c r="K356" s="231">
        <f>11751*(100%+20%)</f>
        <v>14101.199999999999</v>
      </c>
      <c r="L356" s="69"/>
      <c r="M356" s="44"/>
    </row>
    <row r="357" spans="1:13" ht="21" customHeight="1" thickBot="1">
      <c r="A357" s="98"/>
      <c r="B357" s="319" t="s">
        <v>1430</v>
      </c>
      <c r="C357" s="320"/>
      <c r="D357" s="321"/>
      <c r="E357" s="321"/>
      <c r="F357" s="321"/>
      <c r="G357" s="321"/>
      <c r="H357" s="321"/>
      <c r="I357" s="321"/>
      <c r="J357" s="321"/>
      <c r="K357" s="322"/>
      <c r="L357" s="69"/>
      <c r="M357" s="44"/>
    </row>
    <row r="358" spans="1:13" ht="15" customHeight="1" thickBot="1">
      <c r="A358" s="28"/>
      <c r="B358" s="314" t="s">
        <v>2</v>
      </c>
      <c r="C358" s="312" t="s">
        <v>1379</v>
      </c>
      <c r="D358" s="316" t="s">
        <v>845</v>
      </c>
      <c r="E358" s="317"/>
      <c r="F358" s="317"/>
      <c r="G358" s="318"/>
      <c r="H358" s="316" t="s">
        <v>846</v>
      </c>
      <c r="I358" s="317"/>
      <c r="J358" s="317"/>
      <c r="K358" s="318"/>
      <c r="L358" s="69"/>
      <c r="M358" s="44"/>
    </row>
    <row r="359" spans="1:13" ht="15" customHeight="1" thickBot="1">
      <c r="A359" s="28"/>
      <c r="B359" s="364"/>
      <c r="C359" s="313"/>
      <c r="D359" s="106" t="s">
        <v>847</v>
      </c>
      <c r="E359" s="105" t="s">
        <v>4</v>
      </c>
      <c r="F359" s="103" t="s">
        <v>5</v>
      </c>
      <c r="G359" s="105" t="s">
        <v>1420</v>
      </c>
      <c r="H359" s="103" t="s">
        <v>847</v>
      </c>
      <c r="I359" s="105" t="s">
        <v>4</v>
      </c>
      <c r="J359" s="103" t="s">
        <v>5</v>
      </c>
      <c r="K359" s="105" t="s">
        <v>1420</v>
      </c>
      <c r="L359" s="69"/>
      <c r="M359" s="44"/>
    </row>
    <row r="360" spans="1:13" ht="15" customHeight="1">
      <c r="A360" s="28" t="s">
        <v>1075</v>
      </c>
      <c r="B360" s="137" t="s">
        <v>60</v>
      </c>
      <c r="C360" s="122" t="s">
        <v>0</v>
      </c>
      <c r="D360" s="154" t="s">
        <v>159</v>
      </c>
      <c r="E360" s="232">
        <f>6862*(100%+20%)</f>
        <v>8234.4</v>
      </c>
      <c r="F360" s="217">
        <f>8592*(100%+20%)</f>
        <v>10310.4</v>
      </c>
      <c r="G360" s="233">
        <f>8592*(100%+20%)</f>
        <v>10310.4</v>
      </c>
      <c r="H360" s="149" t="s">
        <v>159</v>
      </c>
      <c r="I360" s="217">
        <f>10023*(100%+20%)</f>
        <v>12027.6</v>
      </c>
      <c r="J360" s="217">
        <f>11751*(100%+20%)</f>
        <v>14101.199999999999</v>
      </c>
      <c r="K360" s="219">
        <f>11751*(100%+20%)</f>
        <v>14101.199999999999</v>
      </c>
      <c r="L360" s="69"/>
      <c r="M360" s="44"/>
    </row>
    <row r="361" spans="1:13" ht="15" customHeight="1">
      <c r="A361" s="51"/>
      <c r="B361" s="138" t="s">
        <v>7</v>
      </c>
      <c r="C361" s="120" t="s">
        <v>0</v>
      </c>
      <c r="D361" s="154" t="s">
        <v>159</v>
      </c>
      <c r="E361" s="221">
        <f>8545*(100%+20%)</f>
        <v>10254</v>
      </c>
      <c r="F361" s="221">
        <f>10561*(100%+20%)</f>
        <v>12673.199999999999</v>
      </c>
      <c r="G361" s="222">
        <f>10561*(100%+20%)</f>
        <v>12673.199999999999</v>
      </c>
      <c r="H361" s="153" t="s">
        <v>159</v>
      </c>
      <c r="I361" s="221">
        <f>11705*(100%+20%)</f>
        <v>14046</v>
      </c>
      <c r="J361" s="221">
        <f>13722*(100%+20%)</f>
        <v>16466.399999999998</v>
      </c>
      <c r="K361" s="223">
        <f>13722*(100%+20%)</f>
        <v>16466.399999999998</v>
      </c>
      <c r="L361" s="69"/>
      <c r="M361" s="44"/>
    </row>
    <row r="362" spans="1:13" ht="15" customHeight="1">
      <c r="A362" s="51"/>
      <c r="B362" s="138" t="s">
        <v>763</v>
      </c>
      <c r="C362" s="120" t="s">
        <v>0</v>
      </c>
      <c r="D362" s="154" t="s">
        <v>159</v>
      </c>
      <c r="E362" s="221">
        <f>8545*(100%+20%)</f>
        <v>10254</v>
      </c>
      <c r="F362" s="221">
        <f>10561*(100%+20%)</f>
        <v>12673.199999999999</v>
      </c>
      <c r="G362" s="222">
        <f>10561*(100%+20%)</f>
        <v>12673.199999999999</v>
      </c>
      <c r="H362" s="153" t="s">
        <v>159</v>
      </c>
      <c r="I362" s="221">
        <f>11705*(100%+20%)</f>
        <v>14046</v>
      </c>
      <c r="J362" s="221">
        <f>13722*(100%+20%)</f>
        <v>16466.399999999998</v>
      </c>
      <c r="K362" s="223">
        <f>13722*(100%+20%)</f>
        <v>16466.399999999998</v>
      </c>
      <c r="L362" s="69"/>
      <c r="M362" s="44"/>
    </row>
    <row r="363" spans="1:13" ht="15" customHeight="1">
      <c r="A363" s="51"/>
      <c r="B363" s="138" t="s">
        <v>6</v>
      </c>
      <c r="C363" s="120" t="s">
        <v>0</v>
      </c>
      <c r="D363" s="154" t="s">
        <v>159</v>
      </c>
      <c r="E363" s="221">
        <f>5952*(100%+20%)</f>
        <v>7142.4</v>
      </c>
      <c r="F363" s="221">
        <f>7523*(100%+20%)</f>
        <v>9027.6</v>
      </c>
      <c r="G363" s="222">
        <f>7523*(100%+20%)</f>
        <v>9027.6</v>
      </c>
      <c r="H363" s="153" t="s">
        <v>159</v>
      </c>
      <c r="I363" s="221">
        <f>9112*(100%+20%)</f>
        <v>10934.4</v>
      </c>
      <c r="J363" s="221">
        <f>10683*(100%+20%)</f>
        <v>12819.6</v>
      </c>
      <c r="K363" s="223">
        <f>10683*(100%+20%)</f>
        <v>12819.6</v>
      </c>
      <c r="L363" s="69"/>
      <c r="M363" s="44"/>
    </row>
    <row r="364" spans="1:13" ht="15" customHeight="1">
      <c r="A364" s="51"/>
      <c r="B364" s="138" t="s">
        <v>11</v>
      </c>
      <c r="C364" s="120" t="s">
        <v>9</v>
      </c>
      <c r="D364" s="154" t="s">
        <v>159</v>
      </c>
      <c r="E364" s="221">
        <f>9347*(100%+20%)</f>
        <v>11216.4</v>
      </c>
      <c r="F364" s="221">
        <f>11220*(100%+20%)</f>
        <v>13464</v>
      </c>
      <c r="G364" s="222">
        <f>11220*(100%+20%)</f>
        <v>13464</v>
      </c>
      <c r="H364" s="153" t="s">
        <v>159</v>
      </c>
      <c r="I364" s="221">
        <f>10865*(100%+20%)</f>
        <v>13038</v>
      </c>
      <c r="J364" s="221">
        <f>12737*(100%+20%)</f>
        <v>15284.4</v>
      </c>
      <c r="K364" s="223">
        <f>12737*(100%+20%)</f>
        <v>15284.4</v>
      </c>
      <c r="L364" s="69"/>
      <c r="M364" s="44"/>
    </row>
    <row r="365" spans="1:13" ht="15" customHeight="1">
      <c r="A365" s="51"/>
      <c r="B365" s="138" t="s">
        <v>8</v>
      </c>
      <c r="C365" s="120" t="s">
        <v>9</v>
      </c>
      <c r="D365" s="154" t="s">
        <v>159</v>
      </c>
      <c r="E365" s="221">
        <f>8539*(100%+20%)</f>
        <v>10246.8</v>
      </c>
      <c r="F365" s="221">
        <f>10272*(100%+20%)</f>
        <v>12326.4</v>
      </c>
      <c r="G365" s="222">
        <f>10272*(100%+20%)</f>
        <v>12326.4</v>
      </c>
      <c r="H365" s="153" t="s">
        <v>159</v>
      </c>
      <c r="I365" s="221">
        <f>10055*(100%+20%)</f>
        <v>12066</v>
      </c>
      <c r="J365" s="221">
        <f>11788*(100%+20%)</f>
        <v>14145.6</v>
      </c>
      <c r="K365" s="223">
        <f>11788*(100%+20%)</f>
        <v>14145.6</v>
      </c>
      <c r="L365" s="69"/>
      <c r="M365" s="44"/>
    </row>
    <row r="366" spans="1:13" ht="15" customHeight="1">
      <c r="A366" s="51"/>
      <c r="B366" s="138" t="s">
        <v>10</v>
      </c>
      <c r="C366" s="120" t="s">
        <v>9</v>
      </c>
      <c r="D366" s="154" t="s">
        <v>159</v>
      </c>
      <c r="E366" s="221">
        <f>4360*(100%+20%)</f>
        <v>5232</v>
      </c>
      <c r="F366" s="221">
        <f>5375*(100%+20%)</f>
        <v>6450</v>
      </c>
      <c r="G366" s="222">
        <f>5375*(100%+20%)</f>
        <v>6450</v>
      </c>
      <c r="H366" s="153" t="s">
        <v>159</v>
      </c>
      <c r="I366" s="221">
        <f>5878*(100%+20%)</f>
        <v>7053.599999999999</v>
      </c>
      <c r="J366" s="221">
        <f>6892*(100%+20%)</f>
        <v>8270.4</v>
      </c>
      <c r="K366" s="223">
        <f>6892*(100%+20%)</f>
        <v>8270.4</v>
      </c>
      <c r="L366" s="69"/>
      <c r="M366" s="44"/>
    </row>
    <row r="367" spans="1:13" ht="15" customHeight="1">
      <c r="A367" s="51"/>
      <c r="B367" s="143" t="s">
        <v>1437</v>
      </c>
      <c r="C367" s="120" t="s">
        <v>0</v>
      </c>
      <c r="D367" s="154" t="s">
        <v>159</v>
      </c>
      <c r="E367" s="221">
        <f>6862*(100%+20%)</f>
        <v>8234.4</v>
      </c>
      <c r="F367" s="221">
        <f>8592*(100%+20%)</f>
        <v>10310.4</v>
      </c>
      <c r="G367" s="222">
        <f>8592*(100%+20%)</f>
        <v>10310.4</v>
      </c>
      <c r="H367" s="153" t="s">
        <v>159</v>
      </c>
      <c r="I367" s="221">
        <f>10023*(100%+20%)</f>
        <v>12027.6</v>
      </c>
      <c r="J367" s="221">
        <f>11751*(100%+20%)</f>
        <v>14101.199999999999</v>
      </c>
      <c r="K367" s="223">
        <f>11751*(100%+20%)</f>
        <v>14101.199999999999</v>
      </c>
      <c r="L367" s="69"/>
      <c r="M367" s="44"/>
    </row>
    <row r="368" spans="1:13" ht="15" customHeight="1" thickBot="1">
      <c r="A368" s="26" t="s">
        <v>1076</v>
      </c>
      <c r="B368" s="143" t="s">
        <v>61</v>
      </c>
      <c r="C368" s="120" t="s">
        <v>0</v>
      </c>
      <c r="D368" s="154" t="s">
        <v>159</v>
      </c>
      <c r="E368" s="236">
        <f>6862*(100%+20%)</f>
        <v>8234.4</v>
      </c>
      <c r="F368" s="236">
        <f>8592*(100%+20%)</f>
        <v>10310.4</v>
      </c>
      <c r="G368" s="237">
        <f>8592*(100%+20%)</f>
        <v>10310.4</v>
      </c>
      <c r="H368" s="157" t="s">
        <v>159</v>
      </c>
      <c r="I368" s="229">
        <f>10023*(100%+20%)</f>
        <v>12027.6</v>
      </c>
      <c r="J368" s="229">
        <f>11751*(100%+20%)</f>
        <v>14101.199999999999</v>
      </c>
      <c r="K368" s="231">
        <f>11751*(100%+20%)</f>
        <v>14101.199999999999</v>
      </c>
      <c r="L368" s="69"/>
      <c r="M368" s="44"/>
    </row>
    <row r="369" spans="1:13" ht="21" customHeight="1" thickBot="1">
      <c r="A369" s="100"/>
      <c r="B369" s="358" t="s">
        <v>1505</v>
      </c>
      <c r="C369" s="359"/>
      <c r="D369" s="359"/>
      <c r="E369" s="359"/>
      <c r="F369" s="359"/>
      <c r="G369" s="359"/>
      <c r="H369" s="359"/>
      <c r="I369" s="359"/>
      <c r="J369" s="359"/>
      <c r="K369" s="360"/>
      <c r="L369" s="69"/>
      <c r="M369" s="44"/>
    </row>
    <row r="370" spans="1:13" ht="15" customHeight="1" thickBot="1">
      <c r="A370" s="100"/>
      <c r="B370" s="314" t="s">
        <v>2</v>
      </c>
      <c r="C370" s="312" t="s">
        <v>1379</v>
      </c>
      <c r="D370" s="316" t="s">
        <v>845</v>
      </c>
      <c r="E370" s="317"/>
      <c r="F370" s="317"/>
      <c r="G370" s="318"/>
      <c r="H370" s="316" t="s">
        <v>846</v>
      </c>
      <c r="I370" s="317"/>
      <c r="J370" s="317"/>
      <c r="K370" s="318"/>
      <c r="L370" s="69"/>
      <c r="M370" s="44"/>
    </row>
    <row r="371" spans="1:13" ht="15" customHeight="1" thickBot="1">
      <c r="A371" s="100"/>
      <c r="B371" s="364"/>
      <c r="C371" s="313"/>
      <c r="D371" s="106" t="s">
        <v>847</v>
      </c>
      <c r="E371" s="105" t="s">
        <v>4</v>
      </c>
      <c r="F371" s="103" t="s">
        <v>5</v>
      </c>
      <c r="G371" s="105" t="s">
        <v>1420</v>
      </c>
      <c r="H371" s="103" t="s">
        <v>847</v>
      </c>
      <c r="I371" s="105" t="s">
        <v>4</v>
      </c>
      <c r="J371" s="103" t="s">
        <v>5</v>
      </c>
      <c r="K371" s="105" t="s">
        <v>1420</v>
      </c>
      <c r="L371" s="69"/>
      <c r="M371" s="44"/>
    </row>
    <row r="372" spans="1:13" ht="15" customHeight="1">
      <c r="A372" s="100"/>
      <c r="B372" s="145" t="s">
        <v>60</v>
      </c>
      <c r="C372" s="127" t="s">
        <v>0</v>
      </c>
      <c r="D372" s="239">
        <f>5861*(100%+20%)</f>
        <v>7033.2</v>
      </c>
      <c r="E372" s="232">
        <f>6862*(100%+20%)</f>
        <v>8234.4</v>
      </c>
      <c r="F372" s="232">
        <f>8592*(100%+20%)</f>
        <v>10310.4</v>
      </c>
      <c r="G372" s="234">
        <f>8592*(100%+20%)</f>
        <v>10310.4</v>
      </c>
      <c r="H372" s="239">
        <f>9022*(100%+20%)</f>
        <v>10826.4</v>
      </c>
      <c r="I372" s="232">
        <f>10023*(100%+20%)</f>
        <v>12027.6</v>
      </c>
      <c r="J372" s="232">
        <f>11751*(100%+20%)</f>
        <v>14101.199999999999</v>
      </c>
      <c r="K372" s="234">
        <f>11751*(100%+20%)</f>
        <v>14101.199999999999</v>
      </c>
      <c r="L372" s="69"/>
      <c r="M372" s="44"/>
    </row>
    <row r="373" spans="1:13" ht="15" customHeight="1">
      <c r="A373" s="100"/>
      <c r="B373" s="146" t="s">
        <v>6</v>
      </c>
      <c r="C373" s="128" t="s">
        <v>0</v>
      </c>
      <c r="D373" s="220">
        <f>5041*(100%+20%)</f>
        <v>6049.2</v>
      </c>
      <c r="E373" s="221">
        <f>5952*(100%+20%)</f>
        <v>7142.4</v>
      </c>
      <c r="F373" s="221">
        <f>10561*(100%+20%)</f>
        <v>12673.199999999999</v>
      </c>
      <c r="G373" s="223">
        <f>10561*(100%+20%)</f>
        <v>12673.199999999999</v>
      </c>
      <c r="H373" s="220">
        <f>8200*(100%+20%)</f>
        <v>9840</v>
      </c>
      <c r="I373" s="221">
        <f>9112*(100%+20%)</f>
        <v>10934.4</v>
      </c>
      <c r="J373" s="221">
        <f>13722*(100%+20%)</f>
        <v>16466.399999999998</v>
      </c>
      <c r="K373" s="223">
        <f>13722*(100%+20%)</f>
        <v>16466.399999999998</v>
      </c>
      <c r="L373" s="69"/>
      <c r="M373" s="44"/>
    </row>
    <row r="374" spans="1:13" ht="15" customHeight="1">
      <c r="A374" s="100"/>
      <c r="B374" s="146" t="s">
        <v>7</v>
      </c>
      <c r="C374" s="128" t="s">
        <v>0</v>
      </c>
      <c r="D374" s="220">
        <f>7374*(100%+20%)</f>
        <v>8848.8</v>
      </c>
      <c r="E374" s="221">
        <f>8545*(100%+20%)</f>
        <v>10254</v>
      </c>
      <c r="F374" s="221">
        <f>10561*(100%+20%)</f>
        <v>12673.199999999999</v>
      </c>
      <c r="G374" s="223">
        <f>10561*(100%+20%)</f>
        <v>12673.199999999999</v>
      </c>
      <c r="H374" s="220">
        <f>10535*(100%+20%)</f>
        <v>12642</v>
      </c>
      <c r="I374" s="221">
        <f>11705*(100%+20%)</f>
        <v>14046</v>
      </c>
      <c r="J374" s="221">
        <f>13722*(100%+20%)</f>
        <v>16466.399999999998</v>
      </c>
      <c r="K374" s="223">
        <f>13722*(100%+20%)</f>
        <v>16466.399999999998</v>
      </c>
      <c r="L374" s="69"/>
      <c r="M374" s="44"/>
    </row>
    <row r="375" spans="1:13" ht="15" customHeight="1">
      <c r="A375" s="100"/>
      <c r="B375" s="146" t="s">
        <v>763</v>
      </c>
      <c r="C375" s="128" t="s">
        <v>0</v>
      </c>
      <c r="D375" s="220">
        <f>7374*(100%+20%)</f>
        <v>8848.8</v>
      </c>
      <c r="E375" s="221">
        <f>8545*(100%+20%)</f>
        <v>10254</v>
      </c>
      <c r="F375" s="221">
        <f>7523*(100%+20%)</f>
        <v>9027.6</v>
      </c>
      <c r="G375" s="223">
        <f>7523*(100%+20%)</f>
        <v>9027.6</v>
      </c>
      <c r="H375" s="220">
        <f>10535*(100%+20%)</f>
        <v>12642</v>
      </c>
      <c r="I375" s="221">
        <f>11705*(100%+20%)</f>
        <v>14046</v>
      </c>
      <c r="J375" s="221">
        <f>10683*(100%+20%)</f>
        <v>12819.6</v>
      </c>
      <c r="K375" s="223">
        <f>10683*(100%+20%)</f>
        <v>12819.6</v>
      </c>
      <c r="L375" s="69"/>
      <c r="M375" s="44"/>
    </row>
    <row r="376" spans="1:13" ht="15" customHeight="1">
      <c r="A376" s="100"/>
      <c r="B376" s="146" t="s">
        <v>8</v>
      </c>
      <c r="C376" s="128" t="s">
        <v>9</v>
      </c>
      <c r="D376" s="220">
        <f>8539*(100%+20%)</f>
        <v>10246.8</v>
      </c>
      <c r="E376" s="221">
        <f>8539*(100%+20%)</f>
        <v>10246.8</v>
      </c>
      <c r="F376" s="221">
        <f>11220*(100%+20%)</f>
        <v>13464</v>
      </c>
      <c r="G376" s="223">
        <f>11220*(100%+20%)</f>
        <v>13464</v>
      </c>
      <c r="H376" s="220">
        <f>10055*(100%+20%)</f>
        <v>12066</v>
      </c>
      <c r="I376" s="221">
        <f>10055*(100%+20%)</f>
        <v>12066</v>
      </c>
      <c r="J376" s="221">
        <f>12737*(100%+20%)</f>
        <v>15284.4</v>
      </c>
      <c r="K376" s="223">
        <f>12737*(100%+20%)</f>
        <v>15284.4</v>
      </c>
      <c r="L376" s="69"/>
      <c r="M376" s="44"/>
    </row>
    <row r="377" spans="1:13" ht="15" customHeight="1">
      <c r="A377" s="100"/>
      <c r="B377" s="146" t="s">
        <v>10</v>
      </c>
      <c r="C377" s="128" t="s">
        <v>9</v>
      </c>
      <c r="D377" s="220">
        <f>4360*(100%+20%)</f>
        <v>5232</v>
      </c>
      <c r="E377" s="221">
        <f>4360*(100%+20%)</f>
        <v>5232</v>
      </c>
      <c r="F377" s="221">
        <f>10272*(100%+20%)</f>
        <v>12326.4</v>
      </c>
      <c r="G377" s="223">
        <f>10272*(100%+20%)</f>
        <v>12326.4</v>
      </c>
      <c r="H377" s="220">
        <f>5878*(100%+20%)</f>
        <v>7053.599999999999</v>
      </c>
      <c r="I377" s="221">
        <f>5878*(100%+20%)</f>
        <v>7053.599999999999</v>
      </c>
      <c r="J377" s="221">
        <f>11788*(100%+20%)</f>
        <v>14145.6</v>
      </c>
      <c r="K377" s="223">
        <f>11788*(100%+20%)</f>
        <v>14145.6</v>
      </c>
      <c r="L377" s="69"/>
      <c r="M377" s="44"/>
    </row>
    <row r="378" spans="1:13" ht="15" customHeight="1">
      <c r="A378" s="100"/>
      <c r="B378" s="146" t="s">
        <v>11</v>
      </c>
      <c r="C378" s="128" t="s">
        <v>9</v>
      </c>
      <c r="D378" s="220">
        <f>9347*(100%+20%)</f>
        <v>11216.4</v>
      </c>
      <c r="E378" s="221">
        <f>9347*(100%+20%)</f>
        <v>11216.4</v>
      </c>
      <c r="F378" s="221">
        <f>5375*(100%+20%)</f>
        <v>6450</v>
      </c>
      <c r="G378" s="223">
        <f>5375*(100%+20%)</f>
        <v>6450</v>
      </c>
      <c r="H378" s="220">
        <f>10865*(100%+20%)</f>
        <v>13038</v>
      </c>
      <c r="I378" s="221">
        <f>10865*(100%+20%)</f>
        <v>13038</v>
      </c>
      <c r="J378" s="221">
        <f>6892*(100%+20%)</f>
        <v>8270.4</v>
      </c>
      <c r="K378" s="223">
        <f>6892*(100%+20%)</f>
        <v>8270.4</v>
      </c>
      <c r="L378" s="69"/>
      <c r="M378" s="44"/>
    </row>
    <row r="379" spans="1:13" ht="15" customHeight="1" thickBot="1">
      <c r="A379" s="100"/>
      <c r="B379" s="147" t="s">
        <v>61</v>
      </c>
      <c r="C379" s="118" t="s">
        <v>0</v>
      </c>
      <c r="D379" s="235">
        <f>5861*(100%+20%)</f>
        <v>7033.2</v>
      </c>
      <c r="E379" s="236">
        <f>6862*(100%+20%)</f>
        <v>8234.4</v>
      </c>
      <c r="F379" s="236">
        <f>8592*(100%+20%)</f>
        <v>10310.4</v>
      </c>
      <c r="G379" s="238">
        <f>8592*(100%+20%)</f>
        <v>10310.4</v>
      </c>
      <c r="H379" s="235">
        <f>9022*(100%+20%)</f>
        <v>10826.4</v>
      </c>
      <c r="I379" s="236">
        <f>10023*(100%+20%)</f>
        <v>12027.6</v>
      </c>
      <c r="J379" s="236">
        <f>11751*(100%+20%)</f>
        <v>14101.199999999999</v>
      </c>
      <c r="K379" s="238">
        <f>11751*(100%+20%)</f>
        <v>14101.199999999999</v>
      </c>
      <c r="L379" s="69"/>
      <c r="M379" s="44"/>
    </row>
    <row r="380" spans="1:13" ht="21" customHeight="1" thickBot="1">
      <c r="A380" s="100"/>
      <c r="B380" s="309" t="s">
        <v>1508</v>
      </c>
      <c r="C380" s="310"/>
      <c r="D380" s="310"/>
      <c r="E380" s="310"/>
      <c r="F380" s="310"/>
      <c r="G380" s="310"/>
      <c r="H380" s="310"/>
      <c r="I380" s="310"/>
      <c r="J380" s="310"/>
      <c r="K380" s="311"/>
      <c r="L380" s="69"/>
      <c r="M380" s="44"/>
    </row>
    <row r="381" spans="1:13" ht="15" customHeight="1" thickBot="1">
      <c r="A381" s="100"/>
      <c r="B381" s="314" t="s">
        <v>2</v>
      </c>
      <c r="C381" s="312" t="s">
        <v>1379</v>
      </c>
      <c r="D381" s="316" t="s">
        <v>845</v>
      </c>
      <c r="E381" s="317"/>
      <c r="F381" s="317"/>
      <c r="G381" s="318"/>
      <c r="H381" s="316" t="s">
        <v>846</v>
      </c>
      <c r="I381" s="317"/>
      <c r="J381" s="317"/>
      <c r="K381" s="318"/>
      <c r="L381" s="69"/>
      <c r="M381" s="44"/>
    </row>
    <row r="382" spans="1:13" ht="15" customHeight="1" thickBot="1">
      <c r="A382" s="100"/>
      <c r="B382" s="364"/>
      <c r="C382" s="313"/>
      <c r="D382" s="106" t="s">
        <v>847</v>
      </c>
      <c r="E382" s="105" t="s">
        <v>4</v>
      </c>
      <c r="F382" s="103" t="s">
        <v>5</v>
      </c>
      <c r="G382" s="105" t="s">
        <v>1420</v>
      </c>
      <c r="H382" s="103" t="s">
        <v>847</v>
      </c>
      <c r="I382" s="105" t="s">
        <v>4</v>
      </c>
      <c r="J382" s="103" t="s">
        <v>5</v>
      </c>
      <c r="K382" s="105" t="s">
        <v>1420</v>
      </c>
      <c r="L382" s="69"/>
      <c r="M382" s="44"/>
    </row>
    <row r="383" spans="1:13" ht="15" customHeight="1">
      <c r="A383" s="100"/>
      <c r="B383" s="148" t="s">
        <v>1506</v>
      </c>
      <c r="C383" s="129" t="s">
        <v>0</v>
      </c>
      <c r="D383" s="149" t="s">
        <v>159</v>
      </c>
      <c r="E383" s="150" t="s">
        <v>159</v>
      </c>
      <c r="F383" s="150">
        <f>5497*(100%+20%)</f>
        <v>6596.4</v>
      </c>
      <c r="G383" s="152">
        <f>5497*(100%+20%)</f>
        <v>6596.4</v>
      </c>
      <c r="H383" s="149" t="s">
        <v>159</v>
      </c>
      <c r="I383" s="150" t="s">
        <v>159</v>
      </c>
      <c r="J383" s="150">
        <f>8657*(100%+20%)</f>
        <v>10388.4</v>
      </c>
      <c r="K383" s="152">
        <f>8657*(100%+20%)</f>
        <v>10388.4</v>
      </c>
      <c r="L383" s="69"/>
      <c r="M383" s="44"/>
    </row>
    <row r="384" spans="1:13" ht="15" customHeight="1" thickBot="1">
      <c r="A384" s="100"/>
      <c r="B384" s="132" t="s">
        <v>1507</v>
      </c>
      <c r="C384" s="115" t="s">
        <v>0</v>
      </c>
      <c r="D384" s="157" t="s">
        <v>159</v>
      </c>
      <c r="E384" s="158" t="s">
        <v>159</v>
      </c>
      <c r="F384" s="158">
        <f>7662*(100%+20%)</f>
        <v>9194.4</v>
      </c>
      <c r="G384" s="160">
        <f>7662*(100%+20%)</f>
        <v>9194.4</v>
      </c>
      <c r="H384" s="157" t="s">
        <v>159</v>
      </c>
      <c r="I384" s="158" t="s">
        <v>159</v>
      </c>
      <c r="J384" s="158">
        <f>10822*(100%+20%)</f>
        <v>12986.4</v>
      </c>
      <c r="K384" s="160">
        <f>10822*(100%+20%)</f>
        <v>12986.4</v>
      </c>
      <c r="L384" s="69"/>
      <c r="M384" s="44"/>
    </row>
    <row r="385" spans="1:13" ht="21" customHeight="1" thickBot="1">
      <c r="A385" s="100"/>
      <c r="B385" s="325" t="s">
        <v>1431</v>
      </c>
      <c r="C385" s="354"/>
      <c r="D385" s="321"/>
      <c r="E385" s="321"/>
      <c r="F385" s="321"/>
      <c r="G385" s="321"/>
      <c r="H385" s="321"/>
      <c r="I385" s="321"/>
      <c r="J385" s="321"/>
      <c r="K385" s="322"/>
      <c r="L385" s="69"/>
      <c r="M385" s="44"/>
    </row>
    <row r="386" spans="1:13" ht="15" customHeight="1" thickBot="1">
      <c r="A386" s="26"/>
      <c r="B386" s="314" t="s">
        <v>2</v>
      </c>
      <c r="C386" s="312" t="s">
        <v>1379</v>
      </c>
      <c r="D386" s="316" t="s">
        <v>845</v>
      </c>
      <c r="E386" s="317"/>
      <c r="F386" s="317"/>
      <c r="G386" s="318"/>
      <c r="H386" s="316" t="s">
        <v>846</v>
      </c>
      <c r="I386" s="317"/>
      <c r="J386" s="317"/>
      <c r="K386" s="318"/>
      <c r="L386" s="69"/>
      <c r="M386" s="44"/>
    </row>
    <row r="387" spans="1:13" ht="15" customHeight="1" thickBot="1">
      <c r="A387" s="26"/>
      <c r="B387" s="364"/>
      <c r="C387" s="313"/>
      <c r="D387" s="106" t="s">
        <v>847</v>
      </c>
      <c r="E387" s="105" t="s">
        <v>4</v>
      </c>
      <c r="F387" s="103" t="s">
        <v>5</v>
      </c>
      <c r="G387" s="105" t="s">
        <v>1420</v>
      </c>
      <c r="H387" s="103" t="s">
        <v>847</v>
      </c>
      <c r="I387" s="105" t="s">
        <v>4</v>
      </c>
      <c r="J387" s="103" t="s">
        <v>5</v>
      </c>
      <c r="K387" s="105" t="s">
        <v>1420</v>
      </c>
      <c r="L387" s="69"/>
      <c r="M387" s="44"/>
    </row>
    <row r="388" spans="1:13" ht="15" customHeight="1">
      <c r="A388" s="26"/>
      <c r="B388" s="137" t="s">
        <v>60</v>
      </c>
      <c r="C388" s="122" t="s">
        <v>0</v>
      </c>
      <c r="D388" s="154" t="s">
        <v>159</v>
      </c>
      <c r="E388" s="232">
        <f>6037*(100%+20%)</f>
        <v>7244.4</v>
      </c>
      <c r="F388" s="217">
        <f>6037*(100%+20%)</f>
        <v>7244.4</v>
      </c>
      <c r="G388" s="155" t="s">
        <v>159</v>
      </c>
      <c r="H388" s="149" t="s">
        <v>159</v>
      </c>
      <c r="I388" s="217">
        <f>9197*(100%+20%)</f>
        <v>11036.4</v>
      </c>
      <c r="J388" s="217">
        <f>9197*(100%+20%)</f>
        <v>11036.4</v>
      </c>
      <c r="K388" s="152" t="s">
        <v>159</v>
      </c>
      <c r="L388" s="69"/>
      <c r="M388" s="44"/>
    </row>
    <row r="389" spans="1:13" ht="15" customHeight="1">
      <c r="A389" s="26"/>
      <c r="B389" s="138" t="s">
        <v>6</v>
      </c>
      <c r="C389" s="120" t="s">
        <v>0</v>
      </c>
      <c r="D389" s="154" t="s">
        <v>159</v>
      </c>
      <c r="E389" s="221">
        <f>5219*(100%+20%)</f>
        <v>6262.8</v>
      </c>
      <c r="F389" s="221">
        <f>5219*(100%+20%)</f>
        <v>6262.8</v>
      </c>
      <c r="G389" s="155" t="s">
        <v>159</v>
      </c>
      <c r="H389" s="153" t="s">
        <v>159</v>
      </c>
      <c r="I389" s="221">
        <f>8380*(100%+20%)</f>
        <v>10056</v>
      </c>
      <c r="J389" s="221">
        <f>8380*(100%+20%)</f>
        <v>10056</v>
      </c>
      <c r="K389" s="156" t="s">
        <v>159</v>
      </c>
      <c r="L389" s="69"/>
      <c r="M389" s="44"/>
    </row>
    <row r="390" spans="1:13" ht="15" customHeight="1">
      <c r="A390" s="26" t="s">
        <v>1077</v>
      </c>
      <c r="B390" s="138" t="s">
        <v>7</v>
      </c>
      <c r="C390" s="120" t="s">
        <v>0</v>
      </c>
      <c r="D390" s="154" t="s">
        <v>159</v>
      </c>
      <c r="E390" s="221">
        <f>7555*(100%+20%)</f>
        <v>9066</v>
      </c>
      <c r="F390" s="221">
        <f>7555*(100%+20%)</f>
        <v>9066</v>
      </c>
      <c r="G390" s="155" t="s">
        <v>159</v>
      </c>
      <c r="H390" s="153" t="s">
        <v>159</v>
      </c>
      <c r="I390" s="221">
        <f>10716*(100%+20%)</f>
        <v>12859.199999999999</v>
      </c>
      <c r="J390" s="221">
        <f>10716*(100%+20%)</f>
        <v>12859.199999999999</v>
      </c>
      <c r="K390" s="156" t="s">
        <v>159</v>
      </c>
      <c r="L390" s="69"/>
      <c r="M390" s="44"/>
    </row>
    <row r="391" spans="1:13" ht="15" customHeight="1">
      <c r="A391" s="27" t="s">
        <v>1078</v>
      </c>
      <c r="B391" s="138" t="s">
        <v>763</v>
      </c>
      <c r="C391" s="120" t="s">
        <v>0</v>
      </c>
      <c r="D391" s="154" t="s">
        <v>159</v>
      </c>
      <c r="E391" s="221">
        <f>7555*(100%+20%)</f>
        <v>9066</v>
      </c>
      <c r="F391" s="221">
        <f>7555*(100%+20%)</f>
        <v>9066</v>
      </c>
      <c r="G391" s="155" t="s">
        <v>159</v>
      </c>
      <c r="H391" s="153" t="s">
        <v>159</v>
      </c>
      <c r="I391" s="221">
        <f>10716*(100%+20%)</f>
        <v>12859.199999999999</v>
      </c>
      <c r="J391" s="221">
        <f>10716*(100%+20%)</f>
        <v>12859.199999999999</v>
      </c>
      <c r="K391" s="156" t="s">
        <v>159</v>
      </c>
      <c r="L391" s="69"/>
      <c r="M391" s="44"/>
    </row>
    <row r="392" spans="1:13" ht="15" customHeight="1">
      <c r="A392" s="41" t="s">
        <v>1079</v>
      </c>
      <c r="B392" s="138" t="s">
        <v>8</v>
      </c>
      <c r="C392" s="120" t="s">
        <v>9</v>
      </c>
      <c r="D392" s="154" t="s">
        <v>159</v>
      </c>
      <c r="E392" s="221">
        <f>7782*(100%+20%)</f>
        <v>9338.4</v>
      </c>
      <c r="F392" s="221">
        <f>7782*(100%+20%)</f>
        <v>9338.4</v>
      </c>
      <c r="G392" s="155" t="s">
        <v>159</v>
      </c>
      <c r="H392" s="153" t="s">
        <v>159</v>
      </c>
      <c r="I392" s="221">
        <f>9299*(100%+20%)</f>
        <v>11158.8</v>
      </c>
      <c r="J392" s="221">
        <f>9299*(100%+20%)</f>
        <v>11158.8</v>
      </c>
      <c r="K392" s="156" t="s">
        <v>159</v>
      </c>
      <c r="L392" s="69"/>
      <c r="M392" s="44"/>
    </row>
    <row r="393" spans="1:13" ht="15" customHeight="1" thickBot="1">
      <c r="A393" s="24" t="s">
        <v>1080</v>
      </c>
      <c r="B393" s="138" t="s">
        <v>10</v>
      </c>
      <c r="C393" s="120" t="s">
        <v>9</v>
      </c>
      <c r="D393" s="154" t="s">
        <v>159</v>
      </c>
      <c r="E393" s="221">
        <f>3913*(100%+20%)</f>
        <v>4695.599999999999</v>
      </c>
      <c r="F393" s="221">
        <f>3913*(100%+20%)</f>
        <v>4695.599999999999</v>
      </c>
      <c r="G393" s="155" t="s">
        <v>159</v>
      </c>
      <c r="H393" s="153" t="s">
        <v>159</v>
      </c>
      <c r="I393" s="221">
        <f>5429*(100%+20%)</f>
        <v>6514.8</v>
      </c>
      <c r="J393" s="221">
        <f>5429*(100%+20%)</f>
        <v>6514.8</v>
      </c>
      <c r="K393" s="156" t="s">
        <v>159</v>
      </c>
      <c r="L393" s="69"/>
      <c r="M393" s="44"/>
    </row>
    <row r="394" spans="1:11" ht="15" customHeight="1">
      <c r="A394" s="25"/>
      <c r="B394" s="138" t="s">
        <v>11</v>
      </c>
      <c r="C394" s="120" t="s">
        <v>9</v>
      </c>
      <c r="D394" s="154" t="s">
        <v>159</v>
      </c>
      <c r="E394" s="221">
        <f>8539*(100%+20%)</f>
        <v>10246.8</v>
      </c>
      <c r="F394" s="221">
        <f>8539*(100%+20%)</f>
        <v>10246.8</v>
      </c>
      <c r="G394" s="155" t="s">
        <v>159</v>
      </c>
      <c r="H394" s="153" t="s">
        <v>159</v>
      </c>
      <c r="I394" s="221">
        <f>10055*(100%+20%)</f>
        <v>12066</v>
      </c>
      <c r="J394" s="221">
        <f>10055*(100%+20%)</f>
        <v>12066</v>
      </c>
      <c r="K394" s="156" t="s">
        <v>159</v>
      </c>
    </row>
    <row r="395" spans="1:11" ht="15" customHeight="1">
      <c r="A395" s="25"/>
      <c r="B395" s="143" t="s">
        <v>61</v>
      </c>
      <c r="C395" s="120" t="s">
        <v>0</v>
      </c>
      <c r="D395" s="154" t="s">
        <v>159</v>
      </c>
      <c r="E395" s="221">
        <f>6037*(100%+20%)</f>
        <v>7244.4</v>
      </c>
      <c r="F395" s="221">
        <f>6037*(100%+20%)</f>
        <v>7244.4</v>
      </c>
      <c r="G395" s="155" t="s">
        <v>159</v>
      </c>
      <c r="H395" s="153" t="s">
        <v>159</v>
      </c>
      <c r="I395" s="221">
        <f>9197*(100%+20%)</f>
        <v>11036.4</v>
      </c>
      <c r="J395" s="221">
        <f>9197*(100%+20%)</f>
        <v>11036.4</v>
      </c>
      <c r="K395" s="156" t="s">
        <v>159</v>
      </c>
    </row>
    <row r="396" spans="1:11" ht="15" customHeight="1" thickBot="1">
      <c r="A396" s="25"/>
      <c r="B396" s="139" t="s">
        <v>17</v>
      </c>
      <c r="C396" s="115" t="s">
        <v>9</v>
      </c>
      <c r="D396" s="154" t="s">
        <v>159</v>
      </c>
      <c r="E396" s="229">
        <f>1277*(100%+20%)</f>
        <v>1532.3999999999999</v>
      </c>
      <c r="F396" s="229">
        <f>1277*(100%+20%)</f>
        <v>1532.3999999999999</v>
      </c>
      <c r="G396" s="155" t="s">
        <v>159</v>
      </c>
      <c r="H396" s="157" t="s">
        <v>159</v>
      </c>
      <c r="I396" s="229">
        <f>2793*(100%+20%)</f>
        <v>3351.6</v>
      </c>
      <c r="J396" s="229">
        <f>2793*(100%+20%)</f>
        <v>3351.6</v>
      </c>
      <c r="K396" s="160" t="s">
        <v>159</v>
      </c>
    </row>
    <row r="397" spans="1:11" ht="21" customHeight="1" thickBot="1">
      <c r="A397" s="18"/>
      <c r="B397" s="319" t="s">
        <v>1432</v>
      </c>
      <c r="C397" s="320"/>
      <c r="D397" s="323"/>
      <c r="E397" s="323"/>
      <c r="F397" s="323"/>
      <c r="G397" s="323"/>
      <c r="H397" s="323"/>
      <c r="I397" s="323"/>
      <c r="J397" s="323"/>
      <c r="K397" s="324"/>
    </row>
    <row r="398" spans="1:11" ht="15" customHeight="1" thickBot="1">
      <c r="A398" s="18"/>
      <c r="B398" s="314" t="s">
        <v>2</v>
      </c>
      <c r="C398" s="312" t="s">
        <v>1379</v>
      </c>
      <c r="D398" s="316" t="s">
        <v>845</v>
      </c>
      <c r="E398" s="317"/>
      <c r="F398" s="317"/>
      <c r="G398" s="318"/>
      <c r="H398" s="316" t="s">
        <v>846</v>
      </c>
      <c r="I398" s="317"/>
      <c r="J398" s="317"/>
      <c r="K398" s="318"/>
    </row>
    <row r="399" spans="1:11" ht="15" customHeight="1" thickBot="1">
      <c r="A399" s="18"/>
      <c r="B399" s="364"/>
      <c r="C399" s="313"/>
      <c r="D399" s="106" t="s">
        <v>847</v>
      </c>
      <c r="E399" s="105" t="s">
        <v>4</v>
      </c>
      <c r="F399" s="103" t="s">
        <v>5</v>
      </c>
      <c r="G399" s="105" t="s">
        <v>1420</v>
      </c>
      <c r="H399" s="103" t="s">
        <v>847</v>
      </c>
      <c r="I399" s="105" t="s">
        <v>4</v>
      </c>
      <c r="J399" s="103" t="s">
        <v>5</v>
      </c>
      <c r="K399" s="105" t="s">
        <v>1420</v>
      </c>
    </row>
    <row r="400" spans="1:13" ht="15" customHeight="1">
      <c r="A400" s="30" t="s">
        <v>1081</v>
      </c>
      <c r="B400" s="137" t="s">
        <v>60</v>
      </c>
      <c r="C400" s="122" t="s">
        <v>0</v>
      </c>
      <c r="D400" s="154" t="s">
        <v>159</v>
      </c>
      <c r="E400" s="232">
        <f>6539*(100%+20%)</f>
        <v>7846.799999999999</v>
      </c>
      <c r="F400" s="217">
        <f>6539*(100%+20%)</f>
        <v>7846.799999999999</v>
      </c>
      <c r="G400" s="155" t="s">
        <v>159</v>
      </c>
      <c r="H400" s="149" t="s">
        <v>159</v>
      </c>
      <c r="I400" s="217">
        <f>9700*(100%+20%)</f>
        <v>11640</v>
      </c>
      <c r="J400" s="217">
        <f>9700*(100%+20%)</f>
        <v>11640</v>
      </c>
      <c r="K400" s="152" t="s">
        <v>159</v>
      </c>
      <c r="L400" s="69"/>
      <c r="M400" s="44"/>
    </row>
    <row r="401" spans="1:13" ht="15" customHeight="1">
      <c r="A401" s="27" t="s">
        <v>1082</v>
      </c>
      <c r="B401" s="138" t="s">
        <v>6</v>
      </c>
      <c r="C401" s="120" t="s">
        <v>0</v>
      </c>
      <c r="D401" s="154" t="s">
        <v>159</v>
      </c>
      <c r="E401" s="221">
        <f>5663*(100%+20%)</f>
        <v>6795.599999999999</v>
      </c>
      <c r="F401" s="221">
        <f>5663*(100%+20%)</f>
        <v>6795.599999999999</v>
      </c>
      <c r="G401" s="155" t="s">
        <v>159</v>
      </c>
      <c r="H401" s="153" t="s">
        <v>159</v>
      </c>
      <c r="I401" s="221">
        <f>8823*(100%+20%)</f>
        <v>10587.6</v>
      </c>
      <c r="J401" s="221">
        <f>8823*(100%+20%)</f>
        <v>10587.6</v>
      </c>
      <c r="K401" s="156" t="s">
        <v>159</v>
      </c>
      <c r="L401" s="69"/>
      <c r="M401" s="44"/>
    </row>
    <row r="402" spans="1:13" ht="15" customHeight="1">
      <c r="A402" s="27" t="s">
        <v>1083</v>
      </c>
      <c r="B402" s="138" t="s">
        <v>7</v>
      </c>
      <c r="C402" s="120" t="s">
        <v>0</v>
      </c>
      <c r="D402" s="154" t="s">
        <v>159</v>
      </c>
      <c r="E402" s="221">
        <f>8049*(100%+20%)</f>
        <v>9658.8</v>
      </c>
      <c r="F402" s="221">
        <f>8049*(100%+20%)</f>
        <v>9658.8</v>
      </c>
      <c r="G402" s="155" t="s">
        <v>159</v>
      </c>
      <c r="H402" s="153" t="s">
        <v>159</v>
      </c>
      <c r="I402" s="221">
        <f>11209*(100%+20%)</f>
        <v>13450.8</v>
      </c>
      <c r="J402" s="221">
        <f>11209*(100%+20%)</f>
        <v>13450.8</v>
      </c>
      <c r="K402" s="156" t="s">
        <v>159</v>
      </c>
      <c r="L402" s="69"/>
      <c r="M402" s="44"/>
    </row>
    <row r="403" spans="1:13" ht="15" customHeight="1">
      <c r="A403" s="27" t="s">
        <v>1084</v>
      </c>
      <c r="B403" s="138" t="s">
        <v>763</v>
      </c>
      <c r="C403" s="120" t="s">
        <v>0</v>
      </c>
      <c r="D403" s="154" t="s">
        <v>159</v>
      </c>
      <c r="E403" s="221">
        <f>8049*(100%+20%)</f>
        <v>9658.8</v>
      </c>
      <c r="F403" s="221">
        <f>8049*(100%+20%)</f>
        <v>9658.8</v>
      </c>
      <c r="G403" s="155" t="s">
        <v>159</v>
      </c>
      <c r="H403" s="153" t="s">
        <v>159</v>
      </c>
      <c r="I403" s="221">
        <f>11209*(100%+20%)</f>
        <v>13450.8</v>
      </c>
      <c r="J403" s="221">
        <f>11209*(100%+20%)</f>
        <v>13450.8</v>
      </c>
      <c r="K403" s="156" t="s">
        <v>159</v>
      </c>
      <c r="L403" s="69"/>
      <c r="M403" s="44"/>
    </row>
    <row r="404" spans="1:13" ht="15" customHeight="1">
      <c r="A404" s="27" t="s">
        <v>1085</v>
      </c>
      <c r="B404" s="138" t="s">
        <v>8</v>
      </c>
      <c r="C404" s="120" t="s">
        <v>9</v>
      </c>
      <c r="D404" s="154" t="s">
        <v>159</v>
      </c>
      <c r="E404" s="221">
        <f>8285*(100%+20%)</f>
        <v>9942</v>
      </c>
      <c r="F404" s="221">
        <f>8285*(100%+20%)</f>
        <v>9942</v>
      </c>
      <c r="G404" s="155" t="s">
        <v>159</v>
      </c>
      <c r="H404" s="153" t="s">
        <v>159</v>
      </c>
      <c r="I404" s="221">
        <f>9802*(100%+20%)</f>
        <v>11762.4</v>
      </c>
      <c r="J404" s="221">
        <f>9802*(100%+20%)</f>
        <v>11762.4</v>
      </c>
      <c r="K404" s="156" t="s">
        <v>159</v>
      </c>
      <c r="L404" s="69"/>
      <c r="M404" s="44"/>
    </row>
    <row r="405" spans="1:13" ht="15" customHeight="1">
      <c r="A405" s="27" t="s">
        <v>1086</v>
      </c>
      <c r="B405" s="138" t="s">
        <v>10</v>
      </c>
      <c r="C405" s="120" t="s">
        <v>9</v>
      </c>
      <c r="D405" s="154" t="s">
        <v>159</v>
      </c>
      <c r="E405" s="221">
        <f>4176*(100%+20%)</f>
        <v>5011.2</v>
      </c>
      <c r="F405" s="221">
        <f>4176*(100%+20%)</f>
        <v>5011.2</v>
      </c>
      <c r="G405" s="155" t="s">
        <v>159</v>
      </c>
      <c r="H405" s="153" t="s">
        <v>159</v>
      </c>
      <c r="I405" s="221">
        <f>5692*(100%+20%)</f>
        <v>6830.4</v>
      </c>
      <c r="J405" s="221">
        <f>5692*(100%+20%)</f>
        <v>6830.4</v>
      </c>
      <c r="K405" s="156" t="s">
        <v>159</v>
      </c>
      <c r="L405" s="69"/>
      <c r="M405" s="44"/>
    </row>
    <row r="406" spans="1:13" ht="15" customHeight="1">
      <c r="A406" s="27" t="s">
        <v>1087</v>
      </c>
      <c r="B406" s="138" t="s">
        <v>11</v>
      </c>
      <c r="C406" s="120" t="s">
        <v>9</v>
      </c>
      <c r="D406" s="154" t="s">
        <v>159</v>
      </c>
      <c r="E406" s="221">
        <f>9042*(100%+20%)</f>
        <v>10850.4</v>
      </c>
      <c r="F406" s="221">
        <f>9042*(100%+20%)</f>
        <v>10850.4</v>
      </c>
      <c r="G406" s="155" t="s">
        <v>159</v>
      </c>
      <c r="H406" s="153" t="s">
        <v>159</v>
      </c>
      <c r="I406" s="221">
        <f>10560*(100%+20%)</f>
        <v>12672</v>
      </c>
      <c r="J406" s="221">
        <f>10560*(100%+20%)</f>
        <v>12672</v>
      </c>
      <c r="K406" s="156" t="s">
        <v>159</v>
      </c>
      <c r="L406" s="69"/>
      <c r="M406" s="44"/>
    </row>
    <row r="407" spans="1:13" ht="15" customHeight="1">
      <c r="A407" s="27"/>
      <c r="B407" s="143" t="s">
        <v>61</v>
      </c>
      <c r="C407" s="120" t="s">
        <v>0</v>
      </c>
      <c r="D407" s="154" t="s">
        <v>159</v>
      </c>
      <c r="E407" s="221">
        <f>6539*(100%+20%)</f>
        <v>7846.799999999999</v>
      </c>
      <c r="F407" s="221">
        <f>6539*(100%+20%)</f>
        <v>7846.799999999999</v>
      </c>
      <c r="G407" s="155" t="s">
        <v>159</v>
      </c>
      <c r="H407" s="153" t="s">
        <v>159</v>
      </c>
      <c r="I407" s="221">
        <f>9700*(100%+20%)</f>
        <v>11640</v>
      </c>
      <c r="J407" s="221">
        <f>9700*(100%+20%)</f>
        <v>11640</v>
      </c>
      <c r="K407" s="156" t="s">
        <v>159</v>
      </c>
      <c r="L407" s="69"/>
      <c r="M407" s="44"/>
    </row>
    <row r="408" spans="1:13" ht="15" customHeight="1" thickBot="1">
      <c r="A408" s="27" t="s">
        <v>1088</v>
      </c>
      <c r="B408" s="139" t="s">
        <v>1433</v>
      </c>
      <c r="C408" s="115" t="s">
        <v>9</v>
      </c>
      <c r="D408" s="154" t="s">
        <v>159</v>
      </c>
      <c r="E408" s="229">
        <f>1371*(100%+20%)</f>
        <v>1645.2</v>
      </c>
      <c r="F408" s="229">
        <f>1371*(100%+20%)</f>
        <v>1645.2</v>
      </c>
      <c r="G408" s="155" t="s">
        <v>159</v>
      </c>
      <c r="H408" s="157" t="s">
        <v>159</v>
      </c>
      <c r="I408" s="229">
        <f>2888*(100%+20%)</f>
        <v>3465.6</v>
      </c>
      <c r="J408" s="229">
        <f>2888*(100%+20%)</f>
        <v>3465.6</v>
      </c>
      <c r="K408" s="160" t="s">
        <v>159</v>
      </c>
      <c r="L408" s="69"/>
      <c r="M408" s="44"/>
    </row>
    <row r="409" spans="1:13" ht="21" customHeight="1" thickBot="1">
      <c r="A409" s="81" t="s">
        <v>1089</v>
      </c>
      <c r="B409" s="319" t="s">
        <v>1434</v>
      </c>
      <c r="C409" s="320"/>
      <c r="D409" s="323"/>
      <c r="E409" s="323"/>
      <c r="F409" s="323"/>
      <c r="G409" s="323"/>
      <c r="H409" s="323"/>
      <c r="I409" s="323"/>
      <c r="J409" s="323"/>
      <c r="K409" s="324"/>
      <c r="L409" s="69"/>
      <c r="M409" s="44"/>
    </row>
    <row r="410" spans="1:13" ht="15" customHeight="1" thickBot="1">
      <c r="A410" s="27" t="s">
        <v>1090</v>
      </c>
      <c r="B410" s="314" t="s">
        <v>2</v>
      </c>
      <c r="C410" s="312" t="s">
        <v>1379</v>
      </c>
      <c r="D410" s="316" t="s">
        <v>845</v>
      </c>
      <c r="E410" s="317"/>
      <c r="F410" s="317"/>
      <c r="G410" s="318"/>
      <c r="H410" s="316" t="s">
        <v>846</v>
      </c>
      <c r="I410" s="317"/>
      <c r="J410" s="317"/>
      <c r="K410" s="318"/>
      <c r="L410" s="69"/>
      <c r="M410" s="44"/>
    </row>
    <row r="411" spans="1:13" ht="15" customHeight="1" thickBot="1">
      <c r="A411" s="27" t="s">
        <v>1091</v>
      </c>
      <c r="B411" s="364"/>
      <c r="C411" s="313"/>
      <c r="D411" s="106" t="s">
        <v>847</v>
      </c>
      <c r="E411" s="105" t="s">
        <v>4</v>
      </c>
      <c r="F411" s="103" t="s">
        <v>5</v>
      </c>
      <c r="G411" s="105" t="s">
        <v>1420</v>
      </c>
      <c r="H411" s="103" t="s">
        <v>847</v>
      </c>
      <c r="I411" s="105" t="s">
        <v>4</v>
      </c>
      <c r="J411" s="103" t="s">
        <v>5</v>
      </c>
      <c r="K411" s="105" t="s">
        <v>1420</v>
      </c>
      <c r="L411" s="69"/>
      <c r="M411" s="44"/>
    </row>
    <row r="412" spans="1:13" ht="15" customHeight="1">
      <c r="A412" s="27"/>
      <c r="B412" s="137" t="s">
        <v>60</v>
      </c>
      <c r="C412" s="117" t="s">
        <v>0</v>
      </c>
      <c r="D412" s="149" t="s">
        <v>159</v>
      </c>
      <c r="E412" s="217">
        <f>6539*(100%+20%)</f>
        <v>7846.799999999999</v>
      </c>
      <c r="F412" s="217">
        <f>6539*(100%+20%)</f>
        <v>7846.799999999999</v>
      </c>
      <c r="G412" s="152" t="s">
        <v>159</v>
      </c>
      <c r="H412" s="149" t="s">
        <v>159</v>
      </c>
      <c r="I412" s="217">
        <f>9700*(100%+20%)</f>
        <v>11640</v>
      </c>
      <c r="J412" s="217">
        <f>9700*(100%+20%)</f>
        <v>11640</v>
      </c>
      <c r="K412" s="152" t="s">
        <v>159</v>
      </c>
      <c r="L412" s="69"/>
      <c r="M412" s="44"/>
    </row>
    <row r="413" spans="1:13" ht="15" customHeight="1">
      <c r="A413" s="27" t="s">
        <v>1092</v>
      </c>
      <c r="B413" s="138" t="s">
        <v>6</v>
      </c>
      <c r="C413" s="118" t="s">
        <v>0</v>
      </c>
      <c r="D413" s="153" t="s">
        <v>159</v>
      </c>
      <c r="E413" s="221">
        <f>5663*(100%+20%)</f>
        <v>6795.599999999999</v>
      </c>
      <c r="F413" s="221">
        <f>5663*(100%+20%)</f>
        <v>6795.599999999999</v>
      </c>
      <c r="G413" s="156" t="s">
        <v>159</v>
      </c>
      <c r="H413" s="153" t="s">
        <v>159</v>
      </c>
      <c r="I413" s="221">
        <f>8823*(100%+20%)</f>
        <v>10587.6</v>
      </c>
      <c r="J413" s="221">
        <f>8823*(100%+20%)</f>
        <v>10587.6</v>
      </c>
      <c r="K413" s="156" t="s">
        <v>159</v>
      </c>
      <c r="L413" s="69"/>
      <c r="M413" s="44"/>
    </row>
    <row r="414" spans="1:13" ht="15" customHeight="1">
      <c r="A414" s="27" t="s">
        <v>1093</v>
      </c>
      <c r="B414" s="138" t="s">
        <v>7</v>
      </c>
      <c r="C414" s="118" t="s">
        <v>0</v>
      </c>
      <c r="D414" s="153" t="s">
        <v>159</v>
      </c>
      <c r="E414" s="221">
        <f>8049*(100%+20%)</f>
        <v>9658.8</v>
      </c>
      <c r="F414" s="221">
        <f>8049*(100%+20%)</f>
        <v>9658.8</v>
      </c>
      <c r="G414" s="156" t="s">
        <v>159</v>
      </c>
      <c r="H414" s="153" t="s">
        <v>159</v>
      </c>
      <c r="I414" s="221">
        <f>11209*(100%+20%)</f>
        <v>13450.8</v>
      </c>
      <c r="J414" s="221">
        <f>11209*(100%+20%)</f>
        <v>13450.8</v>
      </c>
      <c r="K414" s="156" t="s">
        <v>159</v>
      </c>
      <c r="L414" s="69"/>
      <c r="M414" s="44"/>
    </row>
    <row r="415" spans="1:13" ht="15" customHeight="1">
      <c r="A415" s="27" t="s">
        <v>1094</v>
      </c>
      <c r="B415" s="138" t="s">
        <v>763</v>
      </c>
      <c r="C415" s="118" t="s">
        <v>0</v>
      </c>
      <c r="D415" s="153" t="s">
        <v>159</v>
      </c>
      <c r="E415" s="221">
        <f>8049*(100%+20%)</f>
        <v>9658.8</v>
      </c>
      <c r="F415" s="221">
        <f>8049*(100%+20%)</f>
        <v>9658.8</v>
      </c>
      <c r="G415" s="156" t="s">
        <v>159</v>
      </c>
      <c r="H415" s="153" t="s">
        <v>159</v>
      </c>
      <c r="I415" s="221">
        <f>11209*(100%+20%)</f>
        <v>13450.8</v>
      </c>
      <c r="J415" s="221">
        <f>11209*(100%+20%)</f>
        <v>13450.8</v>
      </c>
      <c r="K415" s="156" t="s">
        <v>159</v>
      </c>
      <c r="L415" s="69"/>
      <c r="M415" s="44"/>
    </row>
    <row r="416" spans="1:13" ht="15" customHeight="1">
      <c r="A416" s="27" t="s">
        <v>1095</v>
      </c>
      <c r="B416" s="138" t="s">
        <v>8</v>
      </c>
      <c r="C416" s="118" t="s">
        <v>9</v>
      </c>
      <c r="D416" s="153" t="s">
        <v>159</v>
      </c>
      <c r="E416" s="221">
        <f>8285*(100%+20%)</f>
        <v>9942</v>
      </c>
      <c r="F416" s="221">
        <f>8285*(100%+20%)</f>
        <v>9942</v>
      </c>
      <c r="G416" s="156" t="s">
        <v>159</v>
      </c>
      <c r="H416" s="153" t="s">
        <v>159</v>
      </c>
      <c r="I416" s="221">
        <f>9802*(100%+20%)</f>
        <v>11762.4</v>
      </c>
      <c r="J416" s="221">
        <f>9802*(100%+20%)</f>
        <v>11762.4</v>
      </c>
      <c r="K416" s="156" t="s">
        <v>159</v>
      </c>
      <c r="L416" s="69"/>
      <c r="M416" s="44"/>
    </row>
    <row r="417" spans="1:13" ht="15" customHeight="1">
      <c r="A417" s="27"/>
      <c r="B417" s="138" t="s">
        <v>10</v>
      </c>
      <c r="C417" s="118" t="s">
        <v>9</v>
      </c>
      <c r="D417" s="153" t="s">
        <v>159</v>
      </c>
      <c r="E417" s="221">
        <f>4176*(100%+20%)</f>
        <v>5011.2</v>
      </c>
      <c r="F417" s="221">
        <f>4176*(100%+20%)</f>
        <v>5011.2</v>
      </c>
      <c r="G417" s="156" t="s">
        <v>159</v>
      </c>
      <c r="H417" s="153" t="s">
        <v>159</v>
      </c>
      <c r="I417" s="221">
        <f>5692*(100%+20%)</f>
        <v>6830.4</v>
      </c>
      <c r="J417" s="221">
        <f>5692*(100%+20%)</f>
        <v>6830.4</v>
      </c>
      <c r="K417" s="156" t="s">
        <v>159</v>
      </c>
      <c r="L417" s="69"/>
      <c r="M417" s="44"/>
    </row>
    <row r="418" spans="1:13" ht="15" customHeight="1">
      <c r="A418" s="27"/>
      <c r="B418" s="138" t="s">
        <v>11</v>
      </c>
      <c r="C418" s="118" t="s">
        <v>9</v>
      </c>
      <c r="D418" s="153" t="s">
        <v>159</v>
      </c>
      <c r="E418" s="221">
        <f>9042*(100%+20%)</f>
        <v>10850.4</v>
      </c>
      <c r="F418" s="221">
        <f>9042*(100%+20%)</f>
        <v>10850.4</v>
      </c>
      <c r="G418" s="156" t="s">
        <v>159</v>
      </c>
      <c r="H418" s="153" t="s">
        <v>159</v>
      </c>
      <c r="I418" s="221">
        <f>10560*(100%+20%)</f>
        <v>12672</v>
      </c>
      <c r="J418" s="221">
        <f>10560*(100%+20%)</f>
        <v>12672</v>
      </c>
      <c r="K418" s="156" t="s">
        <v>159</v>
      </c>
      <c r="L418" s="69"/>
      <c r="M418" s="44"/>
    </row>
    <row r="419" spans="1:13" ht="15" customHeight="1">
      <c r="A419" s="27" t="s">
        <v>1096</v>
      </c>
      <c r="B419" s="143" t="s">
        <v>61</v>
      </c>
      <c r="C419" s="118" t="s">
        <v>0</v>
      </c>
      <c r="D419" s="153" t="s">
        <v>159</v>
      </c>
      <c r="E419" s="221">
        <f>6539*(100%+20%)</f>
        <v>7846.799999999999</v>
      </c>
      <c r="F419" s="221">
        <f>6539*(100%+20%)</f>
        <v>7846.799999999999</v>
      </c>
      <c r="G419" s="156" t="s">
        <v>159</v>
      </c>
      <c r="H419" s="153" t="s">
        <v>159</v>
      </c>
      <c r="I419" s="221">
        <f>9700*(100%+20%)</f>
        <v>11640</v>
      </c>
      <c r="J419" s="221">
        <f>9700*(100%+20%)</f>
        <v>11640</v>
      </c>
      <c r="K419" s="156" t="s">
        <v>159</v>
      </c>
      <c r="L419" s="69"/>
      <c r="M419" s="44"/>
    </row>
    <row r="420" spans="1:13" ht="15" customHeight="1" thickBot="1">
      <c r="A420" s="27" t="s">
        <v>1097</v>
      </c>
      <c r="B420" s="139" t="s">
        <v>1433</v>
      </c>
      <c r="C420" s="119" t="s">
        <v>9</v>
      </c>
      <c r="D420" s="157" t="s">
        <v>159</v>
      </c>
      <c r="E420" s="229">
        <f>1371*(100%+20%)</f>
        <v>1645.2</v>
      </c>
      <c r="F420" s="229">
        <f>1371*(100%+20%)</f>
        <v>1645.2</v>
      </c>
      <c r="G420" s="160" t="s">
        <v>159</v>
      </c>
      <c r="H420" s="157" t="s">
        <v>159</v>
      </c>
      <c r="I420" s="229">
        <f>2888*(100%+20%)</f>
        <v>3465.6</v>
      </c>
      <c r="J420" s="229">
        <f>2888*(100%+20%)</f>
        <v>3465.6</v>
      </c>
      <c r="K420" s="160" t="s">
        <v>159</v>
      </c>
      <c r="L420" s="69"/>
      <c r="M420" s="44"/>
    </row>
    <row r="421" spans="1:13" ht="21" customHeight="1" thickBot="1">
      <c r="A421" s="81"/>
      <c r="B421" s="319" t="s">
        <v>1435</v>
      </c>
      <c r="C421" s="320"/>
      <c r="D421" s="321"/>
      <c r="E421" s="321"/>
      <c r="F421" s="321"/>
      <c r="G421" s="321"/>
      <c r="H421" s="321"/>
      <c r="I421" s="321"/>
      <c r="J421" s="321"/>
      <c r="K421" s="322"/>
      <c r="L421" s="69"/>
      <c r="M421" s="44"/>
    </row>
    <row r="422" spans="1:13" ht="15" customHeight="1" thickBot="1">
      <c r="A422" s="27"/>
      <c r="B422" s="314" t="s">
        <v>2</v>
      </c>
      <c r="C422" s="312" t="s">
        <v>1379</v>
      </c>
      <c r="D422" s="316" t="s">
        <v>845</v>
      </c>
      <c r="E422" s="317"/>
      <c r="F422" s="317"/>
      <c r="G422" s="317"/>
      <c r="H422" s="316" t="s">
        <v>846</v>
      </c>
      <c r="I422" s="317"/>
      <c r="J422" s="317"/>
      <c r="K422" s="318"/>
      <c r="L422" s="69"/>
      <c r="M422" s="44"/>
    </row>
    <row r="423" spans="1:13" ht="15" customHeight="1" thickBot="1">
      <c r="A423" s="27" t="s">
        <v>1098</v>
      </c>
      <c r="B423" s="364"/>
      <c r="C423" s="313"/>
      <c r="D423" s="105" t="s">
        <v>847</v>
      </c>
      <c r="E423" s="105" t="s">
        <v>4</v>
      </c>
      <c r="F423" s="103" t="s">
        <v>5</v>
      </c>
      <c r="G423" s="105" t="s">
        <v>1420</v>
      </c>
      <c r="H423" s="108" t="s">
        <v>847</v>
      </c>
      <c r="I423" s="105" t="s">
        <v>4</v>
      </c>
      <c r="J423" s="109" t="s">
        <v>5</v>
      </c>
      <c r="K423" s="105" t="s">
        <v>1420</v>
      </c>
      <c r="L423" s="69"/>
      <c r="M423" s="44"/>
    </row>
    <row r="424" spans="2:11" ht="15" customHeight="1">
      <c r="B424" s="137" t="s">
        <v>60</v>
      </c>
      <c r="C424" s="117" t="s">
        <v>0</v>
      </c>
      <c r="D424" s="149" t="s">
        <v>159</v>
      </c>
      <c r="E424" s="217">
        <f>6539*(100%+20%)</f>
        <v>7846.799999999999</v>
      </c>
      <c r="F424" s="217">
        <f>6539*(100%+20%)</f>
        <v>7846.799999999999</v>
      </c>
      <c r="G424" s="152" t="s">
        <v>159</v>
      </c>
      <c r="H424" s="153" t="s">
        <v>159</v>
      </c>
      <c r="I424" s="232">
        <f>9700*(100%+20%)</f>
        <v>11640</v>
      </c>
      <c r="J424" s="217">
        <f>9700*(100%+20%)</f>
        <v>11640</v>
      </c>
      <c r="K424" s="156" t="s">
        <v>159</v>
      </c>
    </row>
    <row r="425" spans="1:11" ht="15" customHeight="1">
      <c r="A425" s="18"/>
      <c r="B425" s="138" t="s">
        <v>6</v>
      </c>
      <c r="C425" s="118" t="s">
        <v>0</v>
      </c>
      <c r="D425" s="153" t="s">
        <v>159</v>
      </c>
      <c r="E425" s="221">
        <f>5663*(100%+20%)</f>
        <v>6795.599999999999</v>
      </c>
      <c r="F425" s="221">
        <f>5663*(100%+20%)</f>
        <v>6795.599999999999</v>
      </c>
      <c r="G425" s="156" t="s">
        <v>159</v>
      </c>
      <c r="H425" s="153" t="s">
        <v>159</v>
      </c>
      <c r="I425" s="221">
        <f>8823*(100%+20%)</f>
        <v>10587.6</v>
      </c>
      <c r="J425" s="221">
        <f>8823*(100%+20%)</f>
        <v>10587.6</v>
      </c>
      <c r="K425" s="156" t="s">
        <v>159</v>
      </c>
    </row>
    <row r="426" spans="1:11" ht="15" customHeight="1">
      <c r="A426" s="18"/>
      <c r="B426" s="138" t="s">
        <v>7</v>
      </c>
      <c r="C426" s="118" t="s">
        <v>0</v>
      </c>
      <c r="D426" s="153" t="s">
        <v>159</v>
      </c>
      <c r="E426" s="221">
        <f>8049*(100%+20%)</f>
        <v>9658.8</v>
      </c>
      <c r="F426" s="221">
        <f>8049*(100%+20%)</f>
        <v>9658.8</v>
      </c>
      <c r="G426" s="156" t="s">
        <v>159</v>
      </c>
      <c r="H426" s="153" t="s">
        <v>159</v>
      </c>
      <c r="I426" s="221">
        <f>11209*(100%+20%)</f>
        <v>13450.8</v>
      </c>
      <c r="J426" s="221">
        <f>11209*(100%+20%)</f>
        <v>13450.8</v>
      </c>
      <c r="K426" s="156" t="s">
        <v>159</v>
      </c>
    </row>
    <row r="427" spans="1:11" ht="15" customHeight="1">
      <c r="A427" s="18"/>
      <c r="B427" s="138" t="s">
        <v>763</v>
      </c>
      <c r="C427" s="118" t="s">
        <v>0</v>
      </c>
      <c r="D427" s="153" t="s">
        <v>159</v>
      </c>
      <c r="E427" s="221">
        <f>8049*(100%+20%)</f>
        <v>9658.8</v>
      </c>
      <c r="F427" s="221">
        <f>8049*(100%+20%)</f>
        <v>9658.8</v>
      </c>
      <c r="G427" s="156" t="s">
        <v>159</v>
      </c>
      <c r="H427" s="153" t="s">
        <v>159</v>
      </c>
      <c r="I427" s="221">
        <f>11209*(100%+20%)</f>
        <v>13450.8</v>
      </c>
      <c r="J427" s="221">
        <f>11209*(100%+20%)</f>
        <v>13450.8</v>
      </c>
      <c r="K427" s="156" t="s">
        <v>159</v>
      </c>
    </row>
    <row r="428" spans="1:11" ht="15" customHeight="1">
      <c r="A428" s="18"/>
      <c r="B428" s="138" t="s">
        <v>8</v>
      </c>
      <c r="C428" s="118" t="s">
        <v>9</v>
      </c>
      <c r="D428" s="153" t="s">
        <v>159</v>
      </c>
      <c r="E428" s="221">
        <f>8285*(100%+20%)</f>
        <v>9942</v>
      </c>
      <c r="F428" s="221">
        <f>8285*(100%+20%)</f>
        <v>9942</v>
      </c>
      <c r="G428" s="156" t="s">
        <v>159</v>
      </c>
      <c r="H428" s="153" t="s">
        <v>159</v>
      </c>
      <c r="I428" s="221">
        <f>9802*(100%+20%)</f>
        <v>11762.4</v>
      </c>
      <c r="J428" s="221">
        <f>9802*(100%+20%)</f>
        <v>11762.4</v>
      </c>
      <c r="K428" s="156" t="s">
        <v>159</v>
      </c>
    </row>
    <row r="429" spans="1:11" ht="15" customHeight="1">
      <c r="A429" s="18"/>
      <c r="B429" s="138" t="s">
        <v>10</v>
      </c>
      <c r="C429" s="118" t="s">
        <v>9</v>
      </c>
      <c r="D429" s="153" t="s">
        <v>159</v>
      </c>
      <c r="E429" s="221">
        <f>4176*(100%+20%)</f>
        <v>5011.2</v>
      </c>
      <c r="F429" s="221">
        <f>4176*(100%+20%)</f>
        <v>5011.2</v>
      </c>
      <c r="G429" s="156" t="s">
        <v>159</v>
      </c>
      <c r="H429" s="153" t="s">
        <v>159</v>
      </c>
      <c r="I429" s="221">
        <f>5692*(100%+20%)</f>
        <v>6830.4</v>
      </c>
      <c r="J429" s="221">
        <f>5692*(100%+20%)</f>
        <v>6830.4</v>
      </c>
      <c r="K429" s="156" t="s">
        <v>159</v>
      </c>
    </row>
    <row r="430" spans="1:11" ht="15" customHeight="1">
      <c r="A430" s="18"/>
      <c r="B430" s="138" t="s">
        <v>11</v>
      </c>
      <c r="C430" s="118" t="s">
        <v>9</v>
      </c>
      <c r="D430" s="153" t="s">
        <v>159</v>
      </c>
      <c r="E430" s="221">
        <f>9042*(100%+20%)</f>
        <v>10850.4</v>
      </c>
      <c r="F430" s="221">
        <f>9042*(100%+20%)</f>
        <v>10850.4</v>
      </c>
      <c r="G430" s="156" t="s">
        <v>159</v>
      </c>
      <c r="H430" s="153" t="s">
        <v>159</v>
      </c>
      <c r="I430" s="221">
        <f>10560*(100%+20%)</f>
        <v>12672</v>
      </c>
      <c r="J430" s="221">
        <f>10560*(100%+20%)</f>
        <v>12672</v>
      </c>
      <c r="K430" s="156" t="s">
        <v>159</v>
      </c>
    </row>
    <row r="431" spans="1:11" ht="15" customHeight="1">
      <c r="A431" s="18"/>
      <c r="B431" s="138" t="s">
        <v>61</v>
      </c>
      <c r="C431" s="118" t="s">
        <v>0</v>
      </c>
      <c r="D431" s="153" t="s">
        <v>159</v>
      </c>
      <c r="E431" s="221">
        <f>6539*(100%+20%)</f>
        <v>7846.799999999999</v>
      </c>
      <c r="F431" s="221">
        <f>6539*(100%+20%)</f>
        <v>7846.799999999999</v>
      </c>
      <c r="G431" s="156" t="s">
        <v>159</v>
      </c>
      <c r="H431" s="153" t="s">
        <v>159</v>
      </c>
      <c r="I431" s="221">
        <f>9700*(100%+20%)</f>
        <v>11640</v>
      </c>
      <c r="J431" s="221">
        <f>9700*(100%+20%)</f>
        <v>11640</v>
      </c>
      <c r="K431" s="156" t="s">
        <v>159</v>
      </c>
    </row>
    <row r="432" spans="1:11" ht="15" customHeight="1" thickBot="1">
      <c r="A432" s="18"/>
      <c r="B432" s="143" t="s">
        <v>1433</v>
      </c>
      <c r="C432" s="118" t="s">
        <v>9</v>
      </c>
      <c r="D432" s="157" t="s">
        <v>159</v>
      </c>
      <c r="E432" s="229">
        <f>1371*(100%+20%)</f>
        <v>1645.2</v>
      </c>
      <c r="F432" s="229">
        <f>1371*(100%+20%)</f>
        <v>1645.2</v>
      </c>
      <c r="G432" s="160" t="s">
        <v>159</v>
      </c>
      <c r="H432" s="157" t="s">
        <v>159</v>
      </c>
      <c r="I432" s="229">
        <f>2888*(100%+20%)</f>
        <v>3465.6</v>
      </c>
      <c r="J432" s="229">
        <f>2888*(100%+20%)</f>
        <v>3465.6</v>
      </c>
      <c r="K432" s="160" t="s">
        <v>159</v>
      </c>
    </row>
    <row r="433" spans="1:11" ht="21" customHeight="1" thickBot="1">
      <c r="A433" s="18"/>
      <c r="B433" s="356" t="s">
        <v>22</v>
      </c>
      <c r="C433" s="334"/>
      <c r="D433" s="334"/>
      <c r="E433" s="334"/>
      <c r="F433" s="334"/>
      <c r="G433" s="334"/>
      <c r="H433" s="334"/>
      <c r="I433" s="334"/>
      <c r="J433" s="334"/>
      <c r="K433" s="335"/>
    </row>
    <row r="434" spans="1:13" ht="21" customHeight="1" thickBot="1">
      <c r="A434" s="80" t="s">
        <v>1099</v>
      </c>
      <c r="B434" s="325" t="s">
        <v>23</v>
      </c>
      <c r="C434" s="351"/>
      <c r="D434" s="352"/>
      <c r="E434" s="352"/>
      <c r="F434" s="352"/>
      <c r="G434" s="352"/>
      <c r="H434" s="352"/>
      <c r="I434" s="352"/>
      <c r="J434" s="352"/>
      <c r="K434" s="365"/>
      <c r="L434" s="69"/>
      <c r="M434" s="44"/>
    </row>
    <row r="435" spans="1:13" ht="15" customHeight="1" thickBot="1">
      <c r="A435" s="81" t="s">
        <v>1100</v>
      </c>
      <c r="B435" s="314" t="s">
        <v>97</v>
      </c>
      <c r="C435" s="312" t="s">
        <v>1379</v>
      </c>
      <c r="D435" s="316" t="s">
        <v>845</v>
      </c>
      <c r="E435" s="317"/>
      <c r="F435" s="317"/>
      <c r="G435" s="318"/>
      <c r="H435" s="316" t="s">
        <v>846</v>
      </c>
      <c r="I435" s="317"/>
      <c r="J435" s="317"/>
      <c r="K435" s="318"/>
      <c r="L435" s="69"/>
      <c r="M435" s="44"/>
    </row>
    <row r="436" spans="1:13" ht="15" customHeight="1" thickBot="1">
      <c r="A436" s="81" t="s">
        <v>1101</v>
      </c>
      <c r="B436" s="315"/>
      <c r="C436" s="313"/>
      <c r="D436" s="106" t="s">
        <v>847</v>
      </c>
      <c r="E436" s="105" t="s">
        <v>4</v>
      </c>
      <c r="F436" s="103" t="s">
        <v>5</v>
      </c>
      <c r="G436" s="105" t="s">
        <v>1420</v>
      </c>
      <c r="H436" s="103" t="s">
        <v>847</v>
      </c>
      <c r="I436" s="105" t="s">
        <v>4</v>
      </c>
      <c r="J436" s="103" t="s">
        <v>5</v>
      </c>
      <c r="K436" s="105" t="s">
        <v>1420</v>
      </c>
      <c r="L436" s="69"/>
      <c r="M436" s="44"/>
    </row>
    <row r="437" spans="1:13" ht="15" customHeight="1">
      <c r="A437" s="81" t="s">
        <v>1102</v>
      </c>
      <c r="B437" s="161" t="s">
        <v>2216</v>
      </c>
      <c r="C437" s="175" t="s">
        <v>9</v>
      </c>
      <c r="D437" s="240">
        <f>972*(100%+20%)</f>
        <v>1166.3999999999999</v>
      </c>
      <c r="E437" s="241">
        <f>1077*(100%+20%)</f>
        <v>1292.3999999999999</v>
      </c>
      <c r="F437" s="242">
        <f>1354*(100%+20%)</f>
        <v>1624.8</v>
      </c>
      <c r="G437" s="243">
        <f>1354*(100%+20%)</f>
        <v>1624.8</v>
      </c>
      <c r="H437" s="240">
        <f>1509*(100%+20%)</f>
        <v>1810.8</v>
      </c>
      <c r="I437" s="241">
        <f>1615*(100%+20%)</f>
        <v>1938</v>
      </c>
      <c r="J437" s="242">
        <f>1892*(100%+20%)</f>
        <v>2270.4</v>
      </c>
      <c r="K437" s="243">
        <f>1892*(100%+20%)</f>
        <v>2270.4</v>
      </c>
      <c r="L437" s="69"/>
      <c r="M437" s="44"/>
    </row>
    <row r="438" spans="1:13" ht="15" customHeight="1">
      <c r="A438" s="81" t="s">
        <v>1103</v>
      </c>
      <c r="B438" s="162" t="s">
        <v>2217</v>
      </c>
      <c r="C438" s="176" t="s">
        <v>9</v>
      </c>
      <c r="D438" s="244">
        <f>881*(100%+20%)</f>
        <v>1057.2</v>
      </c>
      <c r="E438" s="245">
        <f>973*(100%+20%)</f>
        <v>1167.6</v>
      </c>
      <c r="F438" s="245">
        <f>1216*(100%+20%)</f>
        <v>1459.2</v>
      </c>
      <c r="G438" s="246">
        <f>1216*(100%+20%)</f>
        <v>1459.2</v>
      </c>
      <c r="H438" s="244">
        <f>1322*(100%+20%)</f>
        <v>1586.3999999999999</v>
      </c>
      <c r="I438" s="245">
        <f>1416*(100%+20%)</f>
        <v>1699.2</v>
      </c>
      <c r="J438" s="245">
        <f>1659*(100%+20%)</f>
        <v>1990.8</v>
      </c>
      <c r="K438" s="246">
        <f>1659*(100%+20%)</f>
        <v>1990.8</v>
      </c>
      <c r="L438" s="69"/>
      <c r="M438" s="44"/>
    </row>
    <row r="439" spans="1:13" ht="15" customHeight="1" thickBot="1">
      <c r="A439" s="82" t="s">
        <v>1104</v>
      </c>
      <c r="B439" s="162" t="s">
        <v>2218</v>
      </c>
      <c r="C439" s="176" t="s">
        <v>9</v>
      </c>
      <c r="D439" s="244">
        <f>702*(100%+20%)</f>
        <v>842.4</v>
      </c>
      <c r="E439" s="245">
        <f>800*(100%+20%)</f>
        <v>960</v>
      </c>
      <c r="F439" s="245">
        <f>1058*(100%+20%)</f>
        <v>1269.6</v>
      </c>
      <c r="G439" s="246">
        <f>1058*(100%+20%)</f>
        <v>1269.6</v>
      </c>
      <c r="H439" s="244">
        <f>1397*(100%+20%)</f>
        <v>1676.3999999999999</v>
      </c>
      <c r="I439" s="245">
        <f>1496*(100%+20%)</f>
        <v>1795.2</v>
      </c>
      <c r="J439" s="245">
        <f>1753*(100%+20%)</f>
        <v>2103.6</v>
      </c>
      <c r="K439" s="246">
        <f>1753*(100%+20%)</f>
        <v>2103.6</v>
      </c>
      <c r="L439" s="69"/>
      <c r="M439" s="44"/>
    </row>
    <row r="440" spans="1:11" ht="15" customHeight="1">
      <c r="A440" s="31"/>
      <c r="B440" s="162" t="s">
        <v>2219</v>
      </c>
      <c r="C440" s="176" t="s">
        <v>9</v>
      </c>
      <c r="D440" s="244">
        <f>1368*(100%+20%)</f>
        <v>1641.6</v>
      </c>
      <c r="E440" s="245">
        <f>1494*(100%+20%)</f>
        <v>1792.8</v>
      </c>
      <c r="F440" s="245">
        <f>1829*(100%+20%)</f>
        <v>2194.7999999999997</v>
      </c>
      <c r="G440" s="246">
        <f>1829*(100%+20%)</f>
        <v>2194.7999999999997</v>
      </c>
      <c r="H440" s="244">
        <f>1811*(100%+20%)</f>
        <v>2173.2</v>
      </c>
      <c r="I440" s="245">
        <f>1937*(100%+20%)</f>
        <v>2324.4</v>
      </c>
      <c r="J440" s="245">
        <f>2272*(100%+20%)</f>
        <v>2726.4</v>
      </c>
      <c r="K440" s="246">
        <f>2272*(100%+20%)</f>
        <v>2726.4</v>
      </c>
    </row>
    <row r="441" spans="1:11" ht="15" customHeight="1">
      <c r="A441" s="31"/>
      <c r="B441" s="162" t="s">
        <v>2220</v>
      </c>
      <c r="C441" s="176" t="s">
        <v>9</v>
      </c>
      <c r="D441" s="244">
        <f>1189*(100%+20%)</f>
        <v>1426.8</v>
      </c>
      <c r="E441" s="245">
        <f>1321*(100%+20%)</f>
        <v>1585.2</v>
      </c>
      <c r="F441" s="245">
        <f>1669*(100%+20%)</f>
        <v>2002.8</v>
      </c>
      <c r="G441" s="246">
        <f>1669*(100%+20%)</f>
        <v>2002.8</v>
      </c>
      <c r="H441" s="244">
        <f>1884*(100%+20%)</f>
        <v>2260.7999999999997</v>
      </c>
      <c r="I441" s="245">
        <f>2016*(100%+20%)</f>
        <v>2419.2</v>
      </c>
      <c r="J441" s="245">
        <f>2364*(100%+20%)</f>
        <v>2836.7999999999997</v>
      </c>
      <c r="K441" s="246">
        <f>2364*(100%+20%)</f>
        <v>2836.7999999999997</v>
      </c>
    </row>
    <row r="442" spans="1:11" ht="15" customHeight="1" thickBot="1">
      <c r="A442" s="31"/>
      <c r="B442" s="162" t="s">
        <v>2221</v>
      </c>
      <c r="C442" s="176" t="s">
        <v>9</v>
      </c>
      <c r="D442" s="244">
        <f>2405*(100%+20%)</f>
        <v>2886</v>
      </c>
      <c r="E442" s="245">
        <f>2604*(100%+20%)</f>
        <v>3124.7999999999997</v>
      </c>
      <c r="F442" s="245">
        <f>3129*(100%+20%)</f>
        <v>3754.7999999999997</v>
      </c>
      <c r="G442" s="246">
        <f>3129*(100%+20%)</f>
        <v>3754.7999999999997</v>
      </c>
      <c r="H442" s="244">
        <f>2847*(100%+20%)</f>
        <v>3416.4</v>
      </c>
      <c r="I442" s="245">
        <f>3047*(100%+20%)</f>
        <v>3656.4</v>
      </c>
      <c r="J442" s="245">
        <f>3572*(100%+20%)</f>
        <v>4286.4</v>
      </c>
      <c r="K442" s="246">
        <f>3572*(100%+20%)</f>
        <v>4286.4</v>
      </c>
    </row>
    <row r="443" spans="1:13" ht="15" customHeight="1">
      <c r="A443" s="86" t="s">
        <v>1105</v>
      </c>
      <c r="B443" s="162" t="s">
        <v>2222</v>
      </c>
      <c r="C443" s="176" t="s">
        <v>9</v>
      </c>
      <c r="D443" s="244">
        <f>1368*(100%+20%)</f>
        <v>1641.6</v>
      </c>
      <c r="E443" s="245">
        <f>1494*(100%+20%)</f>
        <v>1792.8</v>
      </c>
      <c r="F443" s="245">
        <f>1829*(100%+20%)</f>
        <v>2194.7999999999997</v>
      </c>
      <c r="G443" s="246">
        <f>1829*(100%+20%)</f>
        <v>2194.7999999999997</v>
      </c>
      <c r="H443" s="244">
        <f>1811*(100%+20%)</f>
        <v>2173.2</v>
      </c>
      <c r="I443" s="245">
        <f>1937*(100%+20%)</f>
        <v>2324.4</v>
      </c>
      <c r="J443" s="245">
        <f>2272*(100%+20%)</f>
        <v>2726.4</v>
      </c>
      <c r="K443" s="246">
        <f>2272*(100%+20%)</f>
        <v>2726.4</v>
      </c>
      <c r="L443" s="69"/>
      <c r="M443" s="44"/>
    </row>
    <row r="444" spans="1:13" ht="15" customHeight="1">
      <c r="A444" s="81" t="s">
        <v>1106</v>
      </c>
      <c r="B444" s="162" t="s">
        <v>2223</v>
      </c>
      <c r="C444" s="176" t="s">
        <v>9</v>
      </c>
      <c r="D444" s="244">
        <f>1189*(100%+20%)</f>
        <v>1426.8</v>
      </c>
      <c r="E444" s="245">
        <f>1321*(100%+20%)</f>
        <v>1585.2</v>
      </c>
      <c r="F444" s="245">
        <f>1669*(100%+20%)</f>
        <v>2002.8</v>
      </c>
      <c r="G444" s="246">
        <f>1669*(100%+20%)</f>
        <v>2002.8</v>
      </c>
      <c r="H444" s="244">
        <f>1884*(100%+20%)</f>
        <v>2260.7999999999997</v>
      </c>
      <c r="I444" s="245">
        <f>2016*(100%+20%)</f>
        <v>2419.2</v>
      </c>
      <c r="J444" s="245">
        <f>2364*(100%+20%)</f>
        <v>2836.7999999999997</v>
      </c>
      <c r="K444" s="246">
        <f>2364*(100%+20%)</f>
        <v>2836.7999999999997</v>
      </c>
      <c r="L444" s="69"/>
      <c r="M444" s="44"/>
    </row>
    <row r="445" spans="1:13" ht="15" customHeight="1">
      <c r="A445" s="81" t="s">
        <v>1107</v>
      </c>
      <c r="B445" s="162" t="s">
        <v>2224</v>
      </c>
      <c r="C445" s="176" t="s">
        <v>9</v>
      </c>
      <c r="D445" s="244">
        <f>2373*(100%+20%)</f>
        <v>2847.6</v>
      </c>
      <c r="E445" s="245">
        <f>2569*(100%+20%)</f>
        <v>3082.7999999999997</v>
      </c>
      <c r="F445" s="245">
        <f>3089*(100%+20%)</f>
        <v>3706.7999999999997</v>
      </c>
      <c r="G445" s="246">
        <f>3089*(100%+20%)</f>
        <v>3706.7999999999997</v>
      </c>
      <c r="H445" s="244">
        <f>2815*(100%+20%)</f>
        <v>3378</v>
      </c>
      <c r="I445" s="245">
        <f>3012*(100%+20%)</f>
        <v>3614.4</v>
      </c>
      <c r="J445" s="245">
        <f>3531*(100%+20%)</f>
        <v>4237.2</v>
      </c>
      <c r="K445" s="246">
        <f>3531*(100%+20%)</f>
        <v>4237.2</v>
      </c>
      <c r="L445" s="69"/>
      <c r="M445" s="44"/>
    </row>
    <row r="446" spans="1:13" ht="15" customHeight="1">
      <c r="A446" s="98" t="s">
        <v>1108</v>
      </c>
      <c r="B446" s="162" t="s">
        <v>2225</v>
      </c>
      <c r="C446" s="176" t="s">
        <v>9</v>
      </c>
      <c r="D446" s="244">
        <f>5080*(100%+20%)</f>
        <v>6096</v>
      </c>
      <c r="E446" s="245">
        <f>5499*(100%+20%)</f>
        <v>6598.8</v>
      </c>
      <c r="F446" s="245">
        <f>6606*(100%+20%)</f>
        <v>7927.2</v>
      </c>
      <c r="G446" s="246">
        <f>6606*(100%+20%)</f>
        <v>7927.2</v>
      </c>
      <c r="H446" s="244">
        <f>5996*(100%+20%)</f>
        <v>7195.2</v>
      </c>
      <c r="I446" s="245">
        <f>6416*(100%+20%)</f>
        <v>7699.2</v>
      </c>
      <c r="J446" s="245">
        <f>7523*(100%+20%)</f>
        <v>9027.6</v>
      </c>
      <c r="K446" s="246">
        <f>7523*(100%+20%)</f>
        <v>9027.6</v>
      </c>
      <c r="L446" s="69"/>
      <c r="M446" s="44"/>
    </row>
    <row r="447" spans="1:13" ht="15" customHeight="1">
      <c r="A447" s="98" t="s">
        <v>1109</v>
      </c>
      <c r="B447" s="162" t="s">
        <v>2226</v>
      </c>
      <c r="C447" s="176" t="s">
        <v>9</v>
      </c>
      <c r="D447" s="244">
        <f>5269*(100%+20%)</f>
        <v>6322.8</v>
      </c>
      <c r="E447" s="245">
        <f>5731*(100%+20%)</f>
        <v>6877.2</v>
      </c>
      <c r="F447" s="245">
        <f>6947*(100%+20%)</f>
        <v>8336.4</v>
      </c>
      <c r="G447" s="246">
        <f>6947*(100%+20%)</f>
        <v>8336.4</v>
      </c>
      <c r="H447" s="244">
        <f>6595*(100%+20%)</f>
        <v>7914</v>
      </c>
      <c r="I447" s="245">
        <f>7058*(100%+20%)</f>
        <v>8469.6</v>
      </c>
      <c r="J447" s="245">
        <f>8274*(100%+20%)</f>
        <v>9928.8</v>
      </c>
      <c r="K447" s="246">
        <f>8274*(100%+20%)</f>
        <v>9928.8</v>
      </c>
      <c r="L447" s="69"/>
      <c r="M447" s="44"/>
    </row>
    <row r="448" spans="1:13" ht="15" customHeight="1">
      <c r="A448" s="98" t="s">
        <v>1110</v>
      </c>
      <c r="B448" s="162" t="s">
        <v>2227</v>
      </c>
      <c r="C448" s="176" t="s">
        <v>9</v>
      </c>
      <c r="D448" s="244">
        <f>542*(100%+20%)</f>
        <v>650.4</v>
      </c>
      <c r="E448" s="245">
        <f>619*(100%+20%)</f>
        <v>742.8</v>
      </c>
      <c r="F448" s="245">
        <f>817*(100%+20%)</f>
        <v>980.4</v>
      </c>
      <c r="G448" s="246">
        <f>817*(100%+20%)</f>
        <v>980.4</v>
      </c>
      <c r="H448" s="244">
        <f>1080*(100%+20%)</f>
        <v>1296</v>
      </c>
      <c r="I448" s="245">
        <f>1155*(100%+20%)</f>
        <v>1386</v>
      </c>
      <c r="J448" s="245">
        <f>1354*(100%+20%)</f>
        <v>1624.8</v>
      </c>
      <c r="K448" s="246">
        <f>1354*(100%+20%)</f>
        <v>1624.8</v>
      </c>
      <c r="L448" s="69"/>
      <c r="M448" s="44"/>
    </row>
    <row r="449" spans="1:13" ht="15" customHeight="1">
      <c r="A449" s="98" t="s">
        <v>1111</v>
      </c>
      <c r="B449" s="162" t="s">
        <v>2228</v>
      </c>
      <c r="C449" s="176" t="s">
        <v>9</v>
      </c>
      <c r="D449" s="244">
        <f>357*(100%+20%)</f>
        <v>428.4</v>
      </c>
      <c r="E449" s="245">
        <f>445*(100%+20%)</f>
        <v>534</v>
      </c>
      <c r="F449" s="245">
        <f>681*(100%+20%)</f>
        <v>817.1999999999999</v>
      </c>
      <c r="G449" s="246">
        <f>681*(100%+20%)</f>
        <v>817.1999999999999</v>
      </c>
      <c r="H449" s="244">
        <f>1273*(100%+20%)</f>
        <v>1527.6</v>
      </c>
      <c r="I449" s="245">
        <f>1362*(100%+20%)</f>
        <v>1634.3999999999999</v>
      </c>
      <c r="J449" s="245">
        <f>1597*(100%+20%)</f>
        <v>1916.3999999999999</v>
      </c>
      <c r="K449" s="246">
        <f>1597*(100%+20%)</f>
        <v>1916.3999999999999</v>
      </c>
      <c r="L449" s="69"/>
      <c r="M449" s="44"/>
    </row>
    <row r="450" spans="1:13" ht="15" customHeight="1" thickBot="1">
      <c r="A450" s="166" t="s">
        <v>1112</v>
      </c>
      <c r="B450" s="162" t="s">
        <v>2229</v>
      </c>
      <c r="C450" s="176" t="s">
        <v>9</v>
      </c>
      <c r="D450" s="244">
        <f>239*(100%+20%)</f>
        <v>286.8</v>
      </c>
      <c r="E450" s="245">
        <f>348*(100%+20%)</f>
        <v>417.59999999999997</v>
      </c>
      <c r="F450" s="245">
        <f>637*(100%+20%)</f>
        <v>764.4</v>
      </c>
      <c r="G450" s="246">
        <f>637*(100%+20%)</f>
        <v>764.4</v>
      </c>
      <c r="H450" s="244">
        <f>1566*(100%+20%)</f>
        <v>1879.1999999999998</v>
      </c>
      <c r="I450" s="245">
        <f>1675*(100%+20%)</f>
        <v>2010</v>
      </c>
      <c r="J450" s="245">
        <f>1964*(100%+20%)</f>
        <v>2356.7999999999997</v>
      </c>
      <c r="K450" s="246">
        <f>1964*(100%+20%)</f>
        <v>2356.7999999999997</v>
      </c>
      <c r="L450" s="69"/>
      <c r="M450" s="44"/>
    </row>
    <row r="451" spans="1:11" ht="15" customHeight="1">
      <c r="A451" s="31"/>
      <c r="B451" s="162" t="s">
        <v>1438</v>
      </c>
      <c r="C451" s="176" t="s">
        <v>9</v>
      </c>
      <c r="D451" s="244">
        <f>1197*(100%+20%)</f>
        <v>1436.3999999999999</v>
      </c>
      <c r="E451" s="245">
        <f>1317*(100%+20%)</f>
        <v>1580.3999999999999</v>
      </c>
      <c r="F451" s="245">
        <f>1638*(100%+20%)</f>
        <v>1965.6</v>
      </c>
      <c r="G451" s="246">
        <f>1638*(100%+20%)</f>
        <v>1965.6</v>
      </c>
      <c r="H451" s="244">
        <f>1733*(100%+20%)</f>
        <v>2079.6</v>
      </c>
      <c r="I451" s="245">
        <f>1855*(100%+20%)</f>
        <v>2226</v>
      </c>
      <c r="J451" s="245">
        <f>2176*(100%+20%)</f>
        <v>2611.2</v>
      </c>
      <c r="K451" s="246">
        <f>2176*(100%+20%)</f>
        <v>2611.2</v>
      </c>
    </row>
    <row r="452" spans="1:11" ht="15" customHeight="1">
      <c r="A452" s="31"/>
      <c r="B452" s="162" t="s">
        <v>2230</v>
      </c>
      <c r="C452" s="177" t="s">
        <v>9</v>
      </c>
      <c r="D452" s="244">
        <f>738*(100%+20%)</f>
        <v>885.6</v>
      </c>
      <c r="E452" s="245">
        <f>825*(100%+20%)</f>
        <v>990</v>
      </c>
      <c r="F452" s="245">
        <f>1052*(100%+20%)</f>
        <v>1262.3999999999999</v>
      </c>
      <c r="G452" s="246">
        <f>1052*(100%+20%)</f>
        <v>1262.3999999999999</v>
      </c>
      <c r="H452" s="244">
        <f>1434*(100%+20%)</f>
        <v>1720.8</v>
      </c>
      <c r="I452" s="245">
        <f>1520*(100%+20%)</f>
        <v>1824</v>
      </c>
      <c r="J452" s="245">
        <f>1747*(100%+20%)</f>
        <v>2096.4</v>
      </c>
      <c r="K452" s="246">
        <f>1747*(100%+20%)</f>
        <v>2096.4</v>
      </c>
    </row>
    <row r="453" spans="1:11" ht="15" customHeight="1">
      <c r="A453" s="31"/>
      <c r="B453" s="162" t="s">
        <v>2231</v>
      </c>
      <c r="C453" s="177" t="s">
        <v>9</v>
      </c>
      <c r="D453" s="244">
        <f>793*(100%+20%)</f>
        <v>951.5999999999999</v>
      </c>
      <c r="E453" s="245">
        <f>881*(100%+20%)</f>
        <v>1057.2</v>
      </c>
      <c r="F453" s="245">
        <f>1107*(100%+20%)</f>
        <v>1328.3999999999999</v>
      </c>
      <c r="G453" s="246">
        <f>1107*(100%+20%)</f>
        <v>1328.3999999999999</v>
      </c>
      <c r="H453" s="244">
        <f>1331*(100%+20%)</f>
        <v>1597.2</v>
      </c>
      <c r="I453" s="245">
        <f>1417*(100%+20%)</f>
        <v>1700.3999999999999</v>
      </c>
      <c r="J453" s="245">
        <f>1645*(100%+20%)</f>
        <v>1974</v>
      </c>
      <c r="K453" s="246">
        <f>1645*(100%+20%)</f>
        <v>1974</v>
      </c>
    </row>
    <row r="454" spans="1:11" ht="15" customHeight="1">
      <c r="A454" s="31"/>
      <c r="B454" s="162" t="s">
        <v>1439</v>
      </c>
      <c r="C454" s="176" t="s">
        <v>9</v>
      </c>
      <c r="D454" s="244">
        <f>786*(100%+20%)</f>
        <v>943.1999999999999</v>
      </c>
      <c r="E454" s="245">
        <f>872*(100%+20%)</f>
        <v>1046.3999999999999</v>
      </c>
      <c r="F454" s="245">
        <f>1098*(100%+20%)</f>
        <v>1317.6</v>
      </c>
      <c r="G454" s="246">
        <f>1098*(100%+20%)</f>
        <v>1317.6</v>
      </c>
      <c r="H454" s="244">
        <f>1229*(100%+20%)</f>
        <v>1474.8</v>
      </c>
      <c r="I454" s="245">
        <f>1315*(100%+20%)</f>
        <v>1578</v>
      </c>
      <c r="J454" s="245">
        <f>1541*(100%+20%)</f>
        <v>1849.1999999999998</v>
      </c>
      <c r="K454" s="246">
        <f>1541*(100%+20%)</f>
        <v>1849.1999999999998</v>
      </c>
    </row>
    <row r="455" spans="1:11" ht="15" customHeight="1" thickBot="1">
      <c r="A455" s="31"/>
      <c r="B455" s="162" t="s">
        <v>1440</v>
      </c>
      <c r="C455" s="176" t="s">
        <v>9</v>
      </c>
      <c r="D455" s="244">
        <f>6906*(100%+20%)</f>
        <v>8287.199999999999</v>
      </c>
      <c r="E455" s="245">
        <f>7514*(100%+20%)</f>
        <v>9016.8</v>
      </c>
      <c r="F455" s="245">
        <f>9114*(100%+20%)</f>
        <v>10936.8</v>
      </c>
      <c r="G455" s="246">
        <f>9114*(100%+20%)</f>
        <v>10936.8</v>
      </c>
      <c r="H455" s="244">
        <f>8676*(100%+20%)</f>
        <v>10411.199999999999</v>
      </c>
      <c r="I455" s="245">
        <f>9284*(100%+20%)</f>
        <v>11140.8</v>
      </c>
      <c r="J455" s="245">
        <f>10883*(100%+20%)</f>
        <v>13059.6</v>
      </c>
      <c r="K455" s="246">
        <f>10883*(100%+20%)</f>
        <v>13059.6</v>
      </c>
    </row>
    <row r="456" spans="1:13" ht="15" customHeight="1">
      <c r="A456" s="86" t="s">
        <v>1113</v>
      </c>
      <c r="B456" s="162" t="s">
        <v>1441</v>
      </c>
      <c r="C456" s="176" t="s">
        <v>9</v>
      </c>
      <c r="D456" s="244">
        <f>3414*(100%+20%)</f>
        <v>4096.8</v>
      </c>
      <c r="E456" s="245">
        <f>3745*(100%+20%)</f>
        <v>4494</v>
      </c>
      <c r="F456" s="245">
        <f>4620*(100%+20%)</f>
        <v>5544</v>
      </c>
      <c r="G456" s="246">
        <f>4620*(100%+20%)</f>
        <v>5544</v>
      </c>
      <c r="H456" s="244">
        <f>4740*(100%+20%)</f>
        <v>5688</v>
      </c>
      <c r="I456" s="245">
        <f>5073*(100%+20%)</f>
        <v>6087.599999999999</v>
      </c>
      <c r="J456" s="245">
        <f>5947*(100%+20%)</f>
        <v>7136.4</v>
      </c>
      <c r="K456" s="246">
        <f>5947*(100%+20%)</f>
        <v>7136.4</v>
      </c>
      <c r="L456" s="69"/>
      <c r="M456" s="44"/>
    </row>
    <row r="457" spans="1:13" ht="15" customHeight="1">
      <c r="A457" s="81" t="s">
        <v>1114</v>
      </c>
      <c r="B457" s="162" t="s">
        <v>1442</v>
      </c>
      <c r="C457" s="176" t="s">
        <v>9</v>
      </c>
      <c r="D457" s="244">
        <f>5587*(100%+20%)</f>
        <v>6704.4</v>
      </c>
      <c r="E457" s="245">
        <f>6055*(100%+20%)</f>
        <v>7266</v>
      </c>
      <c r="F457" s="245">
        <f>7290*(100%+20%)</f>
        <v>8748</v>
      </c>
      <c r="G457" s="246">
        <f>7290*(100%+20%)</f>
        <v>8748</v>
      </c>
      <c r="H457" s="244">
        <f>6694*(100%+20%)</f>
        <v>8032.799999999999</v>
      </c>
      <c r="I457" s="245">
        <f>7161*(100%+20%)</f>
        <v>8593.199999999999</v>
      </c>
      <c r="J457" s="245">
        <f>8396*(100%+20%)</f>
        <v>10075.199999999999</v>
      </c>
      <c r="K457" s="246">
        <f>8396*(100%+20%)</f>
        <v>10075.199999999999</v>
      </c>
      <c r="L457" s="69"/>
      <c r="M457" s="44"/>
    </row>
    <row r="458" spans="1:13" ht="15" customHeight="1">
      <c r="A458" s="81" t="s">
        <v>1115</v>
      </c>
      <c r="B458" s="162" t="s">
        <v>1387</v>
      </c>
      <c r="C458" s="176" t="s">
        <v>9</v>
      </c>
      <c r="D458" s="244">
        <f>6034*(100%+20%)</f>
        <v>7240.8</v>
      </c>
      <c r="E458" s="245">
        <f>6551*(100%+20%)</f>
        <v>7861.2</v>
      </c>
      <c r="F458" s="245">
        <f>7908*(100%+20%)</f>
        <v>9489.6</v>
      </c>
      <c r="G458" s="246">
        <f>7908*(100%+20%)</f>
        <v>9489.6</v>
      </c>
      <c r="H458" s="244">
        <f>7362*(100%+20%)</f>
        <v>8834.4</v>
      </c>
      <c r="I458" s="245">
        <f>7877*(100%+20%)</f>
        <v>9452.4</v>
      </c>
      <c r="J458" s="245">
        <f>9234*(100%+20%)</f>
        <v>11080.8</v>
      </c>
      <c r="K458" s="246">
        <f>9234*(100%+20%)</f>
        <v>11080.8</v>
      </c>
      <c r="L458" s="69"/>
      <c r="M458" s="44"/>
    </row>
    <row r="459" spans="1:13" ht="15" customHeight="1">
      <c r="A459" s="98" t="s">
        <v>1116</v>
      </c>
      <c r="B459" s="162" t="s">
        <v>1388</v>
      </c>
      <c r="C459" s="176" t="s">
        <v>9</v>
      </c>
      <c r="D459" s="244">
        <f>5750*(100%+20%)</f>
        <v>6900</v>
      </c>
      <c r="E459" s="245">
        <f>6266*(100%+20%)</f>
        <v>7519.2</v>
      </c>
      <c r="F459" s="245">
        <f>7622*(100%+20%)</f>
        <v>9146.4</v>
      </c>
      <c r="G459" s="246">
        <f>7622*(100%+20%)</f>
        <v>9146.4</v>
      </c>
      <c r="H459" s="244">
        <f>7362*(100%+20%)</f>
        <v>8834.4</v>
      </c>
      <c r="I459" s="245">
        <f>7877*(100%+20%)</f>
        <v>9452.4</v>
      </c>
      <c r="J459" s="245">
        <f>9234*(100%+20%)</f>
        <v>11080.8</v>
      </c>
      <c r="K459" s="246">
        <f>9234*(100%+20%)</f>
        <v>11080.8</v>
      </c>
      <c r="L459" s="69"/>
      <c r="M459" s="44"/>
    </row>
    <row r="460" spans="1:13" ht="15" customHeight="1">
      <c r="A460" s="98" t="s">
        <v>1117</v>
      </c>
      <c r="B460" s="162" t="s">
        <v>1443</v>
      </c>
      <c r="C460" s="176" t="s">
        <v>9</v>
      </c>
      <c r="D460" s="244">
        <f>5587*(100%+20%)</f>
        <v>6704.4</v>
      </c>
      <c r="E460" s="245">
        <f>6055*(100%+20%)</f>
        <v>7266</v>
      </c>
      <c r="F460" s="245">
        <f>7290*(100%+20%)</f>
        <v>8748</v>
      </c>
      <c r="G460" s="246">
        <f>7290*(100%+20%)</f>
        <v>8748</v>
      </c>
      <c r="H460" s="244">
        <f>6694*(100%+20%)</f>
        <v>8032.799999999999</v>
      </c>
      <c r="I460" s="245">
        <f>7161*(100%+20%)</f>
        <v>8593.199999999999</v>
      </c>
      <c r="J460" s="245">
        <f>8396*(100%+20%)</f>
        <v>10075.199999999999</v>
      </c>
      <c r="K460" s="246">
        <f>8396*(100%+20%)</f>
        <v>10075.199999999999</v>
      </c>
      <c r="L460" s="69"/>
      <c r="M460" s="44"/>
    </row>
    <row r="461" spans="1:13" ht="15" customHeight="1">
      <c r="A461" s="98" t="s">
        <v>1118</v>
      </c>
      <c r="B461" s="162" t="s">
        <v>1389</v>
      </c>
      <c r="C461" s="176" t="s">
        <v>9</v>
      </c>
      <c r="D461" s="244">
        <f>6034*(100%+20%)</f>
        <v>7240.8</v>
      </c>
      <c r="E461" s="245">
        <f>6551*(100%+20%)</f>
        <v>7861.2</v>
      </c>
      <c r="F461" s="245">
        <f>7908*(100%+20%)</f>
        <v>9489.6</v>
      </c>
      <c r="G461" s="246">
        <f>7908*(100%+20%)</f>
        <v>9489.6</v>
      </c>
      <c r="H461" s="244">
        <f>7362*(100%+20%)</f>
        <v>8834.4</v>
      </c>
      <c r="I461" s="245">
        <f>7877*(100%+20%)</f>
        <v>9452.4</v>
      </c>
      <c r="J461" s="245">
        <f>9234*(100%+20%)</f>
        <v>11080.8</v>
      </c>
      <c r="K461" s="246">
        <f>9234*(100%+20%)</f>
        <v>11080.8</v>
      </c>
      <c r="L461" s="69"/>
      <c r="M461" s="44"/>
    </row>
    <row r="462" spans="1:13" ht="15" customHeight="1">
      <c r="A462" s="98" t="s">
        <v>1119</v>
      </c>
      <c r="B462" s="162" t="s">
        <v>1444</v>
      </c>
      <c r="C462" s="176" t="s">
        <v>9</v>
      </c>
      <c r="D462" s="244">
        <f>8124*(100%+20%)</f>
        <v>9748.8</v>
      </c>
      <c r="E462" s="245">
        <f>8770*(100%+20%)</f>
        <v>10524</v>
      </c>
      <c r="F462" s="245">
        <f>10472*(100%+20%)</f>
        <v>12566.4</v>
      </c>
      <c r="G462" s="246">
        <f>10472*(100%+20%)</f>
        <v>12566.4</v>
      </c>
      <c r="H462" s="244">
        <f>9230*(100%+20%)</f>
        <v>11076</v>
      </c>
      <c r="I462" s="245">
        <f>9876*(100%+20%)</f>
        <v>11851.199999999999</v>
      </c>
      <c r="J462" s="245">
        <f>11578*(100%+20%)</f>
        <v>13893.6</v>
      </c>
      <c r="K462" s="246">
        <f>11578*(100%+20%)</f>
        <v>13893.6</v>
      </c>
      <c r="L462" s="69"/>
      <c r="M462" s="44"/>
    </row>
    <row r="463" spans="1:13" ht="15" customHeight="1" thickBot="1">
      <c r="A463" s="166" t="s">
        <v>1120</v>
      </c>
      <c r="B463" s="162" t="s">
        <v>2232</v>
      </c>
      <c r="C463" s="176" t="s">
        <v>9</v>
      </c>
      <c r="D463" s="244">
        <f>5199*(100%+20%)</f>
        <v>6238.8</v>
      </c>
      <c r="E463" s="245">
        <f>5627*(100%+20%)</f>
        <v>6752.4</v>
      </c>
      <c r="F463" s="245">
        <f>6754*(100%+20%)</f>
        <v>8104.799999999999</v>
      </c>
      <c r="G463" s="246">
        <f>6754*(100%+20%)</f>
        <v>8104.799999999999</v>
      </c>
      <c r="H463" s="244">
        <f>6116*(100%+20%)</f>
        <v>7339.2</v>
      </c>
      <c r="I463" s="245">
        <f>6544*(100%+20%)</f>
        <v>7852.799999999999</v>
      </c>
      <c r="J463" s="245">
        <f>7670*(100%+20%)</f>
        <v>9204</v>
      </c>
      <c r="K463" s="246">
        <f>7670*(100%+20%)</f>
        <v>9204</v>
      </c>
      <c r="L463" s="69"/>
      <c r="M463" s="44"/>
    </row>
    <row r="464" spans="1:11" ht="15" customHeight="1">
      <c r="A464" s="31"/>
      <c r="B464" s="162" t="s">
        <v>1509</v>
      </c>
      <c r="C464" s="176" t="s">
        <v>9</v>
      </c>
      <c r="D464" s="244">
        <f>7011*(100%+20%)</f>
        <v>8413.199999999999</v>
      </c>
      <c r="E464" s="245">
        <f>7566*(100%+20%)</f>
        <v>9079.199999999999</v>
      </c>
      <c r="F464" s="245">
        <f>9027*(100%+20%)</f>
        <v>10832.4</v>
      </c>
      <c r="G464" s="246">
        <f>9027*(100%+20%)</f>
        <v>10832.4</v>
      </c>
      <c r="H464" s="244">
        <f>7927*(100%+20%)</f>
        <v>9512.4</v>
      </c>
      <c r="I464" s="245">
        <f>8481*(100%+20%)</f>
        <v>10177.199999999999</v>
      </c>
      <c r="J464" s="245">
        <f>9943*(100%+20%)</f>
        <v>11931.6</v>
      </c>
      <c r="K464" s="246">
        <f>9943*(100%+20%)</f>
        <v>11931.6</v>
      </c>
    </row>
    <row r="465" spans="1:11" ht="15" customHeight="1">
      <c r="A465" s="31"/>
      <c r="B465" s="162" t="s">
        <v>1510</v>
      </c>
      <c r="C465" s="176" t="s">
        <v>9</v>
      </c>
      <c r="D465" s="244">
        <f>3660*(100%+20%)</f>
        <v>4392</v>
      </c>
      <c r="E465" s="245">
        <f>3974*(100%+20%)</f>
        <v>4768.8</v>
      </c>
      <c r="F465" s="245">
        <f>4802*(100%+20%)</f>
        <v>5762.4</v>
      </c>
      <c r="G465" s="246">
        <f>4802*(100%+20%)</f>
        <v>5762.4</v>
      </c>
      <c r="H465" s="244">
        <f>4482*(100%+20%)</f>
        <v>5378.4</v>
      </c>
      <c r="I465" s="245">
        <f>4796*(100%+20%)</f>
        <v>5755.2</v>
      </c>
      <c r="J465" s="245">
        <f>5624*(100%+20%)</f>
        <v>6748.8</v>
      </c>
      <c r="K465" s="246">
        <f>5624*(100%+20%)</f>
        <v>6748.8</v>
      </c>
    </row>
    <row r="466" spans="1:11" ht="15" customHeight="1" thickBot="1">
      <c r="A466" s="31"/>
      <c r="B466" s="162" t="s">
        <v>1445</v>
      </c>
      <c r="C466" s="176" t="s">
        <v>9</v>
      </c>
      <c r="D466" s="244">
        <f>5199*(100%+20%)</f>
        <v>6238.8</v>
      </c>
      <c r="E466" s="245">
        <f>5627*(100%+20%)</f>
        <v>6752.4</v>
      </c>
      <c r="F466" s="245">
        <f>6754*(100%+20%)</f>
        <v>8104.799999999999</v>
      </c>
      <c r="G466" s="246">
        <f>6754*(100%+20%)</f>
        <v>8104.799999999999</v>
      </c>
      <c r="H466" s="244">
        <f>6116*(100%+20%)</f>
        <v>7339.2</v>
      </c>
      <c r="I466" s="245">
        <f>6544*(100%+20%)</f>
        <v>7852.799999999999</v>
      </c>
      <c r="J466" s="245">
        <f>7670*(100%+20%)</f>
        <v>9204</v>
      </c>
      <c r="K466" s="246">
        <f>7670*(100%+20%)</f>
        <v>9204</v>
      </c>
    </row>
    <row r="467" spans="1:13" ht="15" customHeight="1">
      <c r="A467" s="86" t="s">
        <v>1121</v>
      </c>
      <c r="B467" s="162" t="s">
        <v>1390</v>
      </c>
      <c r="C467" s="176" t="s">
        <v>9</v>
      </c>
      <c r="D467" s="244">
        <f>5400*(100%+20%)</f>
        <v>6480</v>
      </c>
      <c r="E467" s="245">
        <f>5872*(100%+20%)</f>
        <v>7046.4</v>
      </c>
      <c r="F467" s="245">
        <f>7112*(100%+20%)</f>
        <v>8534.4</v>
      </c>
      <c r="G467" s="246">
        <f>7112*(100%+20%)</f>
        <v>8534.4</v>
      </c>
      <c r="H467" s="244">
        <f>6727*(100%+20%)</f>
        <v>8072.4</v>
      </c>
      <c r="I467" s="245">
        <f>7199*(100%+20%)</f>
        <v>8638.8</v>
      </c>
      <c r="J467" s="245">
        <f>8438*(100%+20%)</f>
        <v>10125.6</v>
      </c>
      <c r="K467" s="246">
        <f>8438*(100%+20%)</f>
        <v>10125.6</v>
      </c>
      <c r="L467" s="69"/>
      <c r="M467" s="44"/>
    </row>
    <row r="468" spans="1:13" ht="15" customHeight="1">
      <c r="A468" s="81" t="s">
        <v>1122</v>
      </c>
      <c r="B468" s="162" t="s">
        <v>1391</v>
      </c>
      <c r="C468" s="176" t="s">
        <v>9</v>
      </c>
      <c r="D468" s="244">
        <f>5116*(100%+20%)</f>
        <v>6139.2</v>
      </c>
      <c r="E468" s="245">
        <f>5587*(100%+20%)</f>
        <v>6704.4</v>
      </c>
      <c r="F468" s="245">
        <f>6827*(100%+20%)</f>
        <v>8192.4</v>
      </c>
      <c r="G468" s="246">
        <f>6827*(100%+20%)</f>
        <v>8192.4</v>
      </c>
      <c r="H468" s="244">
        <f>6727*(100%+20%)</f>
        <v>8072.4</v>
      </c>
      <c r="I468" s="245">
        <f>7199*(100%+20%)</f>
        <v>8638.8</v>
      </c>
      <c r="J468" s="245">
        <f>8438*(100%+20%)</f>
        <v>10125.6</v>
      </c>
      <c r="K468" s="246">
        <f>8438*(100%+20%)</f>
        <v>10125.6</v>
      </c>
      <c r="L468" s="69"/>
      <c r="M468" s="44"/>
    </row>
    <row r="469" spans="1:13" ht="15" customHeight="1">
      <c r="A469" s="81" t="s">
        <v>1123</v>
      </c>
      <c r="B469" s="162" t="s">
        <v>1446</v>
      </c>
      <c r="C469" s="176" t="s">
        <v>9</v>
      </c>
      <c r="D469" s="244">
        <f>5199*(100%+20%)</f>
        <v>6238.8</v>
      </c>
      <c r="E469" s="245">
        <f>5627*(100%+20%)</f>
        <v>6752.4</v>
      </c>
      <c r="F469" s="245">
        <f>6754*(100%+20%)</f>
        <v>8104.799999999999</v>
      </c>
      <c r="G469" s="246">
        <f>6754*(100%+20%)</f>
        <v>8104.799999999999</v>
      </c>
      <c r="H469" s="244">
        <f>6116*(100%+20%)</f>
        <v>7339.2</v>
      </c>
      <c r="I469" s="245">
        <f>6544*(100%+20%)</f>
        <v>7852.799999999999</v>
      </c>
      <c r="J469" s="245">
        <f>7670*(100%+20%)</f>
        <v>9204</v>
      </c>
      <c r="K469" s="246">
        <f>7670*(100%+20%)</f>
        <v>9204</v>
      </c>
      <c r="L469" s="69"/>
      <c r="M469" s="44"/>
    </row>
    <row r="470" spans="1:13" ht="15" customHeight="1">
      <c r="A470" s="98" t="s">
        <v>1124</v>
      </c>
      <c r="B470" s="162" t="s">
        <v>1392</v>
      </c>
      <c r="C470" s="176" t="s">
        <v>9</v>
      </c>
      <c r="D470" s="244">
        <f>5400*(100%+20%)</f>
        <v>6480</v>
      </c>
      <c r="E470" s="245">
        <f>5872*(100%+20%)</f>
        <v>7046.4</v>
      </c>
      <c r="F470" s="245">
        <f>7112*(100%+20%)</f>
        <v>8534.4</v>
      </c>
      <c r="G470" s="246">
        <f>7112*(100%+20%)</f>
        <v>8534.4</v>
      </c>
      <c r="H470" s="244">
        <f>6727*(100%+20%)</f>
        <v>8072.4</v>
      </c>
      <c r="I470" s="245">
        <f>7199*(100%+20%)</f>
        <v>8638.8</v>
      </c>
      <c r="J470" s="245">
        <f>8438*(100%+20%)</f>
        <v>10125.6</v>
      </c>
      <c r="K470" s="246">
        <f>8438*(100%+20%)</f>
        <v>10125.6</v>
      </c>
      <c r="L470" s="69"/>
      <c r="M470" s="44"/>
    </row>
    <row r="471" spans="1:13" ht="15" customHeight="1">
      <c r="A471" s="98" t="s">
        <v>1125</v>
      </c>
      <c r="B471" s="162" t="s">
        <v>1447</v>
      </c>
      <c r="C471" s="176" t="s">
        <v>9</v>
      </c>
      <c r="D471" s="244">
        <f>6769*(100%+20%)</f>
        <v>8122.799999999999</v>
      </c>
      <c r="E471" s="245">
        <f>7306*(100%+20%)</f>
        <v>8767.199999999999</v>
      </c>
      <c r="F471" s="245">
        <f>8723*(100%+20%)</f>
        <v>10467.6</v>
      </c>
      <c r="G471" s="246">
        <f>8723*(100%+20%)</f>
        <v>10467.6</v>
      </c>
      <c r="H471" s="244">
        <f>7684*(100%+20%)</f>
        <v>9220.8</v>
      </c>
      <c r="I471" s="245">
        <f>8223*(100%+20%)</f>
        <v>9867.6</v>
      </c>
      <c r="J471" s="245">
        <f>9640*(100%+20%)</f>
        <v>11568</v>
      </c>
      <c r="K471" s="246">
        <f>9640*(100%+20%)</f>
        <v>11568</v>
      </c>
      <c r="L471" s="69"/>
      <c r="M471" s="44"/>
    </row>
    <row r="472" spans="1:13" ht="15" customHeight="1">
      <c r="A472" s="98" t="s">
        <v>1126</v>
      </c>
      <c r="B472" s="162" t="s">
        <v>1448</v>
      </c>
      <c r="C472" s="176" t="s">
        <v>9</v>
      </c>
      <c r="D472" s="244">
        <f>7349*(100%+20%)</f>
        <v>8818.8</v>
      </c>
      <c r="E472" s="245">
        <f>7957*(100%+20%)</f>
        <v>9548.4</v>
      </c>
      <c r="F472" s="245">
        <f>9557*(100%+20%)</f>
        <v>11468.4</v>
      </c>
      <c r="G472" s="246">
        <f>9557*(100%+20%)</f>
        <v>11468.4</v>
      </c>
      <c r="H472" s="244">
        <f>8676*(100%+20%)</f>
        <v>10411.199999999999</v>
      </c>
      <c r="I472" s="245">
        <f>9284*(100%+20%)</f>
        <v>11140.8</v>
      </c>
      <c r="J472" s="245">
        <f>10883*(100%+20%)</f>
        <v>13059.6</v>
      </c>
      <c r="K472" s="246">
        <f>10883*(100%+20%)</f>
        <v>13059.6</v>
      </c>
      <c r="L472" s="69"/>
      <c r="M472" s="44"/>
    </row>
    <row r="473" spans="1:13" ht="15" customHeight="1">
      <c r="A473" s="98" t="s">
        <v>1127</v>
      </c>
      <c r="B473" s="162" t="s">
        <v>1449</v>
      </c>
      <c r="C473" s="176" t="s">
        <v>9</v>
      </c>
      <c r="D473" s="244">
        <f>5614*(100%+20%)</f>
        <v>6736.8</v>
      </c>
      <c r="E473" s="245">
        <f>6100*(100%+20%)</f>
        <v>7320</v>
      </c>
      <c r="F473" s="245">
        <f>7379*(100%+20%)</f>
        <v>8854.8</v>
      </c>
      <c r="G473" s="246">
        <f>7379*(100%+20%)</f>
        <v>8854.8</v>
      </c>
      <c r="H473" s="244">
        <f>6941*(100%+20%)</f>
        <v>8329.199999999999</v>
      </c>
      <c r="I473" s="245">
        <f>7427*(100%+20%)</f>
        <v>8912.4</v>
      </c>
      <c r="J473" s="245">
        <f>8706*(100%+20%)</f>
        <v>10447.199999999999</v>
      </c>
      <c r="K473" s="246">
        <f>8706*(100%+20%)</f>
        <v>10447.199999999999</v>
      </c>
      <c r="L473" s="69"/>
      <c r="M473" s="44"/>
    </row>
    <row r="474" spans="1:13" ht="15" customHeight="1" thickBot="1">
      <c r="A474" s="166" t="s">
        <v>1128</v>
      </c>
      <c r="B474" s="162" t="s">
        <v>1450</v>
      </c>
      <c r="C474" s="176" t="s">
        <v>9</v>
      </c>
      <c r="D474" s="244">
        <f>7974*(100%+20%)</f>
        <v>9568.8</v>
      </c>
      <c r="E474" s="245">
        <f>8721*(100%+20%)</f>
        <v>10465.199999999999</v>
      </c>
      <c r="F474" s="245">
        <f>10685*(100%+20%)</f>
        <v>12822</v>
      </c>
      <c r="G474" s="246">
        <f>10685*(100%+20%)</f>
        <v>12822</v>
      </c>
      <c r="H474" s="244">
        <f>10659*(100%+20%)</f>
        <v>12790.8</v>
      </c>
      <c r="I474" s="245">
        <f>11407*(100%+20%)</f>
        <v>13688.4</v>
      </c>
      <c r="J474" s="245">
        <f>13371*(100%+20%)</f>
        <v>16045.199999999999</v>
      </c>
      <c r="K474" s="246">
        <f>13371*(100%+20%)</f>
        <v>16045.199999999999</v>
      </c>
      <c r="L474" s="69"/>
      <c r="M474" s="44"/>
    </row>
    <row r="475" spans="1:11" ht="15" customHeight="1" thickBot="1">
      <c r="A475" s="31"/>
      <c r="B475" s="163" t="s">
        <v>2233</v>
      </c>
      <c r="C475" s="178" t="s">
        <v>9</v>
      </c>
      <c r="D475" s="247">
        <f>7974*(100%+20%)</f>
        <v>9568.8</v>
      </c>
      <c r="E475" s="248">
        <f>8721*(100%+20%)</f>
        <v>10465.199999999999</v>
      </c>
      <c r="F475" s="248">
        <f>10685*(100%+20%)</f>
        <v>12822</v>
      </c>
      <c r="G475" s="249">
        <f>10685*(100%+20%)</f>
        <v>12822</v>
      </c>
      <c r="H475" s="247">
        <f>10659*(100%+20%)</f>
        <v>12790.8</v>
      </c>
      <c r="I475" s="248">
        <f>11407*(100%+20%)</f>
        <v>13688.4</v>
      </c>
      <c r="J475" s="248">
        <f>13371*(100%+20%)</f>
        <v>16045.199999999999</v>
      </c>
      <c r="K475" s="249">
        <f>13371*(100%+20%)</f>
        <v>16045.199999999999</v>
      </c>
    </row>
    <row r="476" spans="1:12" ht="13.5" customHeight="1" thickBot="1">
      <c r="A476" s="31"/>
      <c r="B476" s="306" t="s">
        <v>1511</v>
      </c>
      <c r="C476" s="307"/>
      <c r="D476" s="307"/>
      <c r="E476" s="307"/>
      <c r="F476" s="307"/>
      <c r="G476" s="307"/>
      <c r="H476" s="307"/>
      <c r="I476" s="307"/>
      <c r="J476" s="307"/>
      <c r="K476" s="308"/>
      <c r="L476" s="94"/>
    </row>
    <row r="477" spans="1:12" ht="13.5" customHeight="1" thickBot="1">
      <c r="A477" s="31"/>
      <c r="B477" s="292" t="s">
        <v>1512</v>
      </c>
      <c r="C477" s="288"/>
      <c r="D477" s="288"/>
      <c r="E477" s="288"/>
      <c r="F477" s="288"/>
      <c r="G477" s="288"/>
      <c r="H477" s="288"/>
      <c r="I477" s="288"/>
      <c r="J477" s="288"/>
      <c r="K477" s="293"/>
      <c r="L477" s="94"/>
    </row>
    <row r="478" spans="1:13" ht="21" customHeight="1" thickBot="1">
      <c r="A478" s="86" t="s">
        <v>1129</v>
      </c>
      <c r="B478" s="319" t="s">
        <v>24</v>
      </c>
      <c r="C478" s="326"/>
      <c r="D478" s="337"/>
      <c r="E478" s="337"/>
      <c r="F478" s="337"/>
      <c r="G478" s="337"/>
      <c r="H478" s="337"/>
      <c r="I478" s="337"/>
      <c r="J478" s="337"/>
      <c r="K478" s="338"/>
      <c r="L478" s="69"/>
      <c r="M478" s="44"/>
    </row>
    <row r="479" spans="1:13" ht="15" customHeight="1" thickBot="1">
      <c r="A479" s="27" t="s">
        <v>1130</v>
      </c>
      <c r="B479" s="314" t="s">
        <v>97</v>
      </c>
      <c r="C479" s="312" t="s">
        <v>1379</v>
      </c>
      <c r="D479" s="316" t="s">
        <v>845</v>
      </c>
      <c r="E479" s="317"/>
      <c r="F479" s="317"/>
      <c r="G479" s="318"/>
      <c r="H479" s="316" t="s">
        <v>846</v>
      </c>
      <c r="I479" s="317"/>
      <c r="J479" s="317"/>
      <c r="K479" s="318"/>
      <c r="L479" s="69"/>
      <c r="M479" s="44"/>
    </row>
    <row r="480" spans="1:13" ht="15" customHeight="1" thickBot="1">
      <c r="A480" s="27" t="s">
        <v>1131</v>
      </c>
      <c r="B480" s="315"/>
      <c r="C480" s="313"/>
      <c r="D480" s="106" t="s">
        <v>847</v>
      </c>
      <c r="E480" s="105" t="s">
        <v>4</v>
      </c>
      <c r="F480" s="103" t="s">
        <v>5</v>
      </c>
      <c r="G480" s="105" t="s">
        <v>1420</v>
      </c>
      <c r="H480" s="103" t="s">
        <v>847</v>
      </c>
      <c r="I480" s="105" t="s">
        <v>4</v>
      </c>
      <c r="J480" s="103" t="s">
        <v>5</v>
      </c>
      <c r="K480" s="105" t="s">
        <v>1420</v>
      </c>
      <c r="L480" s="69"/>
      <c r="M480" s="44"/>
    </row>
    <row r="481" spans="1:13" ht="15" customHeight="1">
      <c r="A481" s="98" t="s">
        <v>1132</v>
      </c>
      <c r="B481" s="161" t="s">
        <v>94</v>
      </c>
      <c r="C481" s="175" t="s">
        <v>9</v>
      </c>
      <c r="D481" s="240">
        <f>391*(100%+20%)</f>
        <v>469.2</v>
      </c>
      <c r="E481" s="241">
        <f>391*(100%+20%)</f>
        <v>469.2</v>
      </c>
      <c r="F481" s="242">
        <f>464*(100%+20%)</f>
        <v>556.8</v>
      </c>
      <c r="G481" s="243">
        <f>464*(100%+20%)</f>
        <v>556.8</v>
      </c>
      <c r="H481" s="240">
        <f>423*(100%+20%)</f>
        <v>507.59999999999997</v>
      </c>
      <c r="I481" s="241">
        <f>423*(100%+20%)</f>
        <v>507.59999999999997</v>
      </c>
      <c r="J481" s="242">
        <f>496*(100%+20%)</f>
        <v>595.1999999999999</v>
      </c>
      <c r="K481" s="243">
        <f>496*(100%+20%)</f>
        <v>595.1999999999999</v>
      </c>
      <c r="L481" s="69"/>
      <c r="M481" s="44"/>
    </row>
    <row r="482" spans="1:13" ht="15" customHeight="1">
      <c r="A482" s="98" t="s">
        <v>1133</v>
      </c>
      <c r="B482" s="162" t="s">
        <v>95</v>
      </c>
      <c r="C482" s="176" t="s">
        <v>9</v>
      </c>
      <c r="D482" s="244">
        <f>632*(100%+20%)</f>
        <v>758.4</v>
      </c>
      <c r="E482" s="245">
        <f>632*(100%+20%)</f>
        <v>758.4</v>
      </c>
      <c r="F482" s="245">
        <f>817*(100%+20%)</f>
        <v>980.4</v>
      </c>
      <c r="G482" s="246">
        <f>817*(100%+20%)</f>
        <v>980.4</v>
      </c>
      <c r="H482" s="244">
        <f>1074*(100%+20%)</f>
        <v>1288.8</v>
      </c>
      <c r="I482" s="245">
        <f>1074*(100%+20%)</f>
        <v>1288.8</v>
      </c>
      <c r="J482" s="245">
        <f>1260*(100%+20%)</f>
        <v>1512</v>
      </c>
      <c r="K482" s="246">
        <f>1260*(100%+20%)</f>
        <v>1512</v>
      </c>
      <c r="L482" s="69"/>
      <c r="M482" s="44"/>
    </row>
    <row r="483" spans="1:13" ht="15" customHeight="1">
      <c r="A483" s="98" t="s">
        <v>1134</v>
      </c>
      <c r="B483" s="162" t="s">
        <v>96</v>
      </c>
      <c r="C483" s="176" t="s">
        <v>9</v>
      </c>
      <c r="D483" s="244">
        <f>1047*(100%+20%)</f>
        <v>1256.3999999999999</v>
      </c>
      <c r="E483" s="245">
        <f>1047*(100%+20%)</f>
        <v>1256.3999999999999</v>
      </c>
      <c r="F483" s="245">
        <f>1237*(100%+20%)</f>
        <v>1484.3999999999999</v>
      </c>
      <c r="G483" s="246">
        <f>1237*(100%+20%)</f>
        <v>1484.3999999999999</v>
      </c>
      <c r="H483" s="244">
        <f>1111*(100%+20%)</f>
        <v>1333.2</v>
      </c>
      <c r="I483" s="245">
        <f>1111*(100%+20%)</f>
        <v>1333.2</v>
      </c>
      <c r="J483" s="245">
        <f>1301*(100%+20%)</f>
        <v>1561.2</v>
      </c>
      <c r="K483" s="246">
        <f>1301*(100%+20%)</f>
        <v>1561.2</v>
      </c>
      <c r="L483" s="69"/>
      <c r="M483" s="44"/>
    </row>
    <row r="484" spans="1:13" ht="15" customHeight="1">
      <c r="A484" s="98" t="s">
        <v>1135</v>
      </c>
      <c r="B484" s="162" t="s">
        <v>91</v>
      </c>
      <c r="C484" s="176" t="s">
        <v>9</v>
      </c>
      <c r="D484" s="244">
        <f>1811*(100%+20%)</f>
        <v>2173.2</v>
      </c>
      <c r="E484" s="245">
        <f>1811*(100%+20%)</f>
        <v>2173.2</v>
      </c>
      <c r="F484" s="245">
        <f>2145*(100%+20%)</f>
        <v>2574</v>
      </c>
      <c r="G484" s="246">
        <f>2145*(100%+20%)</f>
        <v>2574</v>
      </c>
      <c r="H484" s="244">
        <f>1937*(100%+20%)</f>
        <v>2324.4</v>
      </c>
      <c r="I484" s="245">
        <f>1937*(100%+20%)</f>
        <v>2324.4</v>
      </c>
      <c r="J484" s="245">
        <f>2272*(100%+20%)</f>
        <v>2726.4</v>
      </c>
      <c r="K484" s="246">
        <f>2272*(100%+20%)</f>
        <v>2726.4</v>
      </c>
      <c r="L484" s="69"/>
      <c r="M484" s="44"/>
    </row>
    <row r="485" spans="1:13" ht="15" customHeight="1" thickBot="1">
      <c r="A485" s="166" t="s">
        <v>1136</v>
      </c>
      <c r="B485" s="162" t="s">
        <v>92</v>
      </c>
      <c r="C485" s="176" t="s">
        <v>9</v>
      </c>
      <c r="D485" s="244">
        <f>1552*(100%+20%)</f>
        <v>1862.3999999999999</v>
      </c>
      <c r="E485" s="245">
        <f>1552*(100%+20%)</f>
        <v>1862.3999999999999</v>
      </c>
      <c r="F485" s="245">
        <f>1840*(100%+20%)</f>
        <v>2208</v>
      </c>
      <c r="G485" s="246">
        <f>1840*(100%+20%)</f>
        <v>2208</v>
      </c>
      <c r="H485" s="244">
        <f>1678*(100%+20%)</f>
        <v>2013.6</v>
      </c>
      <c r="I485" s="245">
        <f>1678*(100%+20%)</f>
        <v>2013.6</v>
      </c>
      <c r="J485" s="245">
        <f>1967*(100%+20%)</f>
        <v>2360.4</v>
      </c>
      <c r="K485" s="246">
        <f>1967*(100%+20%)</f>
        <v>2360.4</v>
      </c>
      <c r="L485" s="69"/>
      <c r="M485" s="44"/>
    </row>
    <row r="486" spans="1:13" ht="15" customHeight="1">
      <c r="A486" s="25"/>
      <c r="B486" s="162" t="s">
        <v>93</v>
      </c>
      <c r="C486" s="176" t="s">
        <v>9</v>
      </c>
      <c r="D486" s="244">
        <f>2524*(100%+20%)</f>
        <v>3028.7999999999997</v>
      </c>
      <c r="E486" s="245">
        <f>2524*(100%+20%)</f>
        <v>3028.7999999999997</v>
      </c>
      <c r="F486" s="245">
        <f>2991*(100%+20%)</f>
        <v>3589.2</v>
      </c>
      <c r="G486" s="246">
        <f>2991*(100%+20%)</f>
        <v>3589.2</v>
      </c>
      <c r="H486" s="244">
        <f>2715*(100%+20%)</f>
        <v>3258</v>
      </c>
      <c r="I486" s="245">
        <f>2715*(100%+20%)</f>
        <v>3258</v>
      </c>
      <c r="J486" s="245">
        <f>3182*(100%+20%)</f>
        <v>3818.3999999999996</v>
      </c>
      <c r="K486" s="246">
        <f>3182*(100%+20%)</f>
        <v>3818.3999999999996</v>
      </c>
      <c r="L486" s="69"/>
      <c r="M486" s="44"/>
    </row>
    <row r="487" spans="1:13" ht="15" customHeight="1">
      <c r="A487" s="25"/>
      <c r="B487" s="162" t="s">
        <v>1451</v>
      </c>
      <c r="C487" s="176" t="s">
        <v>9</v>
      </c>
      <c r="D487" s="244">
        <f>1465*(100%+20%)</f>
        <v>1758</v>
      </c>
      <c r="E487" s="245">
        <f>1465*(100%+20%)</f>
        <v>1758</v>
      </c>
      <c r="F487" s="245">
        <f>1766*(100%+20%)</f>
        <v>2119.2</v>
      </c>
      <c r="G487" s="246">
        <f>1766*(100%+20%)</f>
        <v>2119.2</v>
      </c>
      <c r="H487" s="244">
        <f>1749*(100%+20%)</f>
        <v>2098.7999999999997</v>
      </c>
      <c r="I487" s="245">
        <f>1749*(100%+20%)</f>
        <v>2098.7999999999997</v>
      </c>
      <c r="J487" s="245">
        <f>2050*(100%+20%)</f>
        <v>2460</v>
      </c>
      <c r="K487" s="246">
        <f>2050*(100%+20%)</f>
        <v>2460</v>
      </c>
      <c r="L487" s="69"/>
      <c r="M487" s="44"/>
    </row>
    <row r="488" spans="1:13" ht="15" customHeight="1">
      <c r="A488" s="25"/>
      <c r="B488" s="162" t="s">
        <v>1513</v>
      </c>
      <c r="C488" s="176" t="s">
        <v>9</v>
      </c>
      <c r="D488" s="244">
        <f>1402*(100%+20%)</f>
        <v>1682.3999999999999</v>
      </c>
      <c r="E488" s="245">
        <f>1402*(100%+20%)</f>
        <v>1682.3999999999999</v>
      </c>
      <c r="F488" s="245">
        <f>1704*(100%+20%)</f>
        <v>2044.8</v>
      </c>
      <c r="G488" s="246">
        <f>1704*(100%+20%)</f>
        <v>2044.8</v>
      </c>
      <c r="H488" s="244">
        <f>1749*(100%+20%)</f>
        <v>2098.7999999999997</v>
      </c>
      <c r="I488" s="245">
        <f>1749*(100%+20%)</f>
        <v>2098.7999999999997</v>
      </c>
      <c r="J488" s="245">
        <f>2050*(100%+20%)</f>
        <v>2460</v>
      </c>
      <c r="K488" s="246">
        <f>2050*(100%+20%)</f>
        <v>2460</v>
      </c>
      <c r="L488" s="69"/>
      <c r="M488" s="44"/>
    </row>
    <row r="489" spans="1:13" ht="15" customHeight="1">
      <c r="A489" s="25"/>
      <c r="B489" s="162" t="s">
        <v>25</v>
      </c>
      <c r="C489" s="176" t="s">
        <v>9</v>
      </c>
      <c r="D489" s="244">
        <f>4289*(100%+20%)</f>
        <v>5146.8</v>
      </c>
      <c r="E489" s="245">
        <f>4289*(100%+20%)</f>
        <v>5146.8</v>
      </c>
      <c r="F489" s="245">
        <f>5202*(100%+20%)</f>
        <v>6242.4</v>
      </c>
      <c r="G489" s="246">
        <f>5202*(100%+20%)</f>
        <v>6242.4</v>
      </c>
      <c r="H489" s="244">
        <f>5300*(100%+20%)</f>
        <v>6360</v>
      </c>
      <c r="I489" s="245">
        <f>5300*(100%+20%)</f>
        <v>6360</v>
      </c>
      <c r="J489" s="245">
        <f>6214*(100%+20%)</f>
        <v>7456.799999999999</v>
      </c>
      <c r="K489" s="246">
        <f>6214*(100%+20%)</f>
        <v>7456.799999999999</v>
      </c>
      <c r="L489" s="69"/>
      <c r="M489" s="44"/>
    </row>
    <row r="490" spans="1:13" ht="15" customHeight="1">
      <c r="A490" s="25"/>
      <c r="B490" s="162" t="s">
        <v>26</v>
      </c>
      <c r="C490" s="176" t="s">
        <v>9</v>
      </c>
      <c r="D490" s="244">
        <f>451*(100%+20%)</f>
        <v>541.1999999999999</v>
      </c>
      <c r="E490" s="245">
        <f>451*(100%+20%)</f>
        <v>541.1999999999999</v>
      </c>
      <c r="F490" s="245">
        <f>535*(100%+20%)</f>
        <v>642</v>
      </c>
      <c r="G490" s="246">
        <f>535*(100%+20%)</f>
        <v>642</v>
      </c>
      <c r="H490" s="244">
        <f>483*(100%+20%)</f>
        <v>579.6</v>
      </c>
      <c r="I490" s="245">
        <f>483*(100%+20%)</f>
        <v>579.6</v>
      </c>
      <c r="J490" s="245">
        <f>567*(100%+20%)</f>
        <v>680.4</v>
      </c>
      <c r="K490" s="246">
        <f>567*(100%+20%)</f>
        <v>680.4</v>
      </c>
      <c r="L490" s="69"/>
      <c r="M490" s="44"/>
    </row>
    <row r="491" spans="1:13" ht="15" customHeight="1">
      <c r="A491" s="25"/>
      <c r="B491" s="162" t="s">
        <v>2214</v>
      </c>
      <c r="C491" s="176" t="s">
        <v>9</v>
      </c>
      <c r="D491" s="244">
        <f>1068*(100%+20%)</f>
        <v>1281.6</v>
      </c>
      <c r="E491" s="245">
        <f>1068*(100%+20%)</f>
        <v>1281.6</v>
      </c>
      <c r="F491" s="245">
        <f>1267*(100%+20%)</f>
        <v>1520.3999999999999</v>
      </c>
      <c r="G491" s="246">
        <f>1267*(100%+20%)</f>
        <v>1520.3999999999999</v>
      </c>
      <c r="H491" s="244">
        <f>1161*(100%+20%)</f>
        <v>1393.2</v>
      </c>
      <c r="I491" s="245">
        <f>1161*(100%+20%)</f>
        <v>1393.2</v>
      </c>
      <c r="J491" s="245">
        <f>1362*(100%+20%)</f>
        <v>1634.3999999999999</v>
      </c>
      <c r="K491" s="246">
        <f>1362*(100%+20%)</f>
        <v>1634.3999999999999</v>
      </c>
      <c r="L491" s="69"/>
      <c r="M491" s="44"/>
    </row>
    <row r="492" spans="1:13" ht="15" customHeight="1">
      <c r="A492" s="25"/>
      <c r="B492" s="162" t="s">
        <v>88</v>
      </c>
      <c r="C492" s="176" t="s">
        <v>9</v>
      </c>
      <c r="D492" s="244">
        <f>1946*(100%+20%)</f>
        <v>2335.2</v>
      </c>
      <c r="E492" s="245">
        <f>1946*(100%+20%)</f>
        <v>2335.2</v>
      </c>
      <c r="F492" s="245">
        <f>2314*(100%+20%)</f>
        <v>2776.7999999999997</v>
      </c>
      <c r="G492" s="246">
        <f>2314*(100%+20%)</f>
        <v>2776.7999999999997</v>
      </c>
      <c r="H492" s="244">
        <f>2137*(100%+20%)</f>
        <v>2564.4</v>
      </c>
      <c r="I492" s="245">
        <f>2137*(100%+20%)</f>
        <v>2564.4</v>
      </c>
      <c r="J492" s="245">
        <f>2504*(100%+20%)</f>
        <v>3004.7999999999997</v>
      </c>
      <c r="K492" s="246">
        <f>2504*(100%+20%)</f>
        <v>3004.7999999999997</v>
      </c>
      <c r="L492" s="69"/>
      <c r="M492" s="44"/>
    </row>
    <row r="493" spans="1:13" ht="15" customHeight="1">
      <c r="A493" s="25"/>
      <c r="B493" s="162" t="s">
        <v>2213</v>
      </c>
      <c r="C493" s="176" t="s">
        <v>9</v>
      </c>
      <c r="D493" s="244">
        <f>759*(100%+20%)</f>
        <v>910.8</v>
      </c>
      <c r="E493" s="245">
        <f>759*(100%+20%)</f>
        <v>910.8</v>
      </c>
      <c r="F493" s="245">
        <f>929*(100%+20%)</f>
        <v>1114.8</v>
      </c>
      <c r="G493" s="246">
        <f>929*(100%+20%)</f>
        <v>1114.8</v>
      </c>
      <c r="H493" s="244">
        <f>980*(100%+20%)</f>
        <v>1176</v>
      </c>
      <c r="I493" s="245">
        <f>980*(100%+20%)</f>
        <v>1176</v>
      </c>
      <c r="J493" s="245">
        <f>1149*(100%+20%)</f>
        <v>1378.8</v>
      </c>
      <c r="K493" s="246">
        <f>1149*(100%+20%)</f>
        <v>1378.8</v>
      </c>
      <c r="L493" s="69"/>
      <c r="M493" s="44"/>
    </row>
    <row r="494" spans="1:13" ht="15" customHeight="1">
      <c r="A494" s="25"/>
      <c r="B494" s="162" t="s">
        <v>2212</v>
      </c>
      <c r="C494" s="176" t="s">
        <v>9</v>
      </c>
      <c r="D494" s="244">
        <f>1036*(100%+20%)</f>
        <v>1243.2</v>
      </c>
      <c r="E494" s="245">
        <f>1036*(100%+20%)</f>
        <v>1243.2</v>
      </c>
      <c r="F494" s="245">
        <f>1273*(100%+20%)</f>
        <v>1527.6</v>
      </c>
      <c r="G494" s="246">
        <f>1273*(100%+20%)</f>
        <v>1527.6</v>
      </c>
      <c r="H494" s="244">
        <f>1383*(100%+20%)</f>
        <v>1659.6</v>
      </c>
      <c r="I494" s="245">
        <f>1383*(100%+20%)</f>
        <v>1659.6</v>
      </c>
      <c r="J494" s="245">
        <f>1621*(100%+20%)</f>
        <v>1945.1999999999998</v>
      </c>
      <c r="K494" s="246">
        <f>1621*(100%+20%)</f>
        <v>1945.1999999999998</v>
      </c>
      <c r="L494" s="69"/>
      <c r="M494" s="44"/>
    </row>
    <row r="495" spans="1:13" ht="15" customHeight="1">
      <c r="A495" s="25"/>
      <c r="B495" s="162" t="s">
        <v>2211</v>
      </c>
      <c r="C495" s="176" t="s">
        <v>9</v>
      </c>
      <c r="D495" s="244">
        <f>1287*(100%+20%)</f>
        <v>1544.3999999999999</v>
      </c>
      <c r="E495" s="245">
        <f>1287*(100%+20%)</f>
        <v>1544.3999999999999</v>
      </c>
      <c r="F495" s="245">
        <f>1597*(100%+20%)</f>
        <v>1916.3999999999999</v>
      </c>
      <c r="G495" s="246">
        <f>1597*(100%+20%)</f>
        <v>1916.3999999999999</v>
      </c>
      <c r="H495" s="244">
        <f>1792*(100%+20%)</f>
        <v>2150.4</v>
      </c>
      <c r="I495" s="245">
        <f>1792*(100%+20%)</f>
        <v>2150.4</v>
      </c>
      <c r="J495" s="245">
        <f>2101*(100%+20%)</f>
        <v>2521.2</v>
      </c>
      <c r="K495" s="246">
        <f>2101*(100%+20%)</f>
        <v>2521.2</v>
      </c>
      <c r="L495" s="69"/>
      <c r="M495" s="44"/>
    </row>
    <row r="496" spans="1:13" ht="15" customHeight="1">
      <c r="A496" s="25"/>
      <c r="B496" s="162" t="s">
        <v>2210</v>
      </c>
      <c r="C496" s="176" t="s">
        <v>9</v>
      </c>
      <c r="D496" s="244">
        <f>3275*(100%+20%)</f>
        <v>3930</v>
      </c>
      <c r="E496" s="245">
        <f>3275*(100%+20%)</f>
        <v>3930</v>
      </c>
      <c r="F496" s="245">
        <f>4037*(100%+20%)</f>
        <v>4844.4</v>
      </c>
      <c r="G496" s="246">
        <f>4037*(100%+20%)</f>
        <v>4844.4</v>
      </c>
      <c r="H496" s="244">
        <f>4413*(100%+20%)</f>
        <v>5295.599999999999</v>
      </c>
      <c r="I496" s="245">
        <f>4413*(100%+20%)</f>
        <v>5295.599999999999</v>
      </c>
      <c r="J496" s="245">
        <f>5175*(100%+20%)</f>
        <v>6210</v>
      </c>
      <c r="K496" s="246">
        <f>5175*(100%+20%)</f>
        <v>6210</v>
      </c>
      <c r="L496" s="69"/>
      <c r="M496" s="44"/>
    </row>
    <row r="497" spans="1:11" ht="15" customHeight="1">
      <c r="A497" s="31"/>
      <c r="B497" s="162" t="s">
        <v>2209</v>
      </c>
      <c r="C497" s="176" t="s">
        <v>9</v>
      </c>
      <c r="D497" s="244">
        <f>2804*(100%+20%)</f>
        <v>3364.7999999999997</v>
      </c>
      <c r="E497" s="245">
        <f>2804*(100%+20%)</f>
        <v>3364.7999999999997</v>
      </c>
      <c r="F497" s="245">
        <f>3413*(100%+20%)</f>
        <v>4095.6</v>
      </c>
      <c r="G497" s="246">
        <f>3413*(100%+20%)</f>
        <v>4095.6</v>
      </c>
      <c r="H497" s="244">
        <f>3531*(100%+20%)</f>
        <v>4237.2</v>
      </c>
      <c r="I497" s="245">
        <f>3531*(100%+20%)</f>
        <v>4237.2</v>
      </c>
      <c r="J497" s="245">
        <f>4140*(100%+20%)</f>
        <v>4968</v>
      </c>
      <c r="K497" s="246">
        <f>4140*(100%+20%)</f>
        <v>4968</v>
      </c>
    </row>
    <row r="498" spans="1:11" ht="15" customHeight="1">
      <c r="A498" s="31"/>
      <c r="B498" s="162" t="s">
        <v>2208</v>
      </c>
      <c r="C498" s="176" t="s">
        <v>9</v>
      </c>
      <c r="D498" s="244">
        <f>3307*(100%+20%)</f>
        <v>3968.3999999999996</v>
      </c>
      <c r="E498" s="245">
        <f>3307*(100%+20%)</f>
        <v>3968.3999999999996</v>
      </c>
      <c r="F498" s="245">
        <f>4041*(100%+20%)</f>
        <v>4849.2</v>
      </c>
      <c r="G498" s="246">
        <f>4041*(100%+20%)</f>
        <v>4849.2</v>
      </c>
      <c r="H498" s="244">
        <f>4255*(100%+20%)</f>
        <v>5106</v>
      </c>
      <c r="I498" s="245">
        <f>4255*(100%+20%)</f>
        <v>5106</v>
      </c>
      <c r="J498" s="245">
        <f>4989*(100%+20%)</f>
        <v>5986.8</v>
      </c>
      <c r="K498" s="246">
        <f>4989*(100%+20%)</f>
        <v>5986.8</v>
      </c>
    </row>
    <row r="499" spans="1:11" ht="15" customHeight="1" thickBot="1">
      <c r="A499" s="31"/>
      <c r="B499" s="162" t="s">
        <v>2197</v>
      </c>
      <c r="C499" s="176" t="s">
        <v>9</v>
      </c>
      <c r="D499" s="244">
        <f>1107*(100%+20%)</f>
        <v>1328.3999999999999</v>
      </c>
      <c r="E499" s="245">
        <f>1107*(100%+20%)</f>
        <v>1328.3999999999999</v>
      </c>
      <c r="F499" s="245">
        <f>1336*(100%+20%)</f>
        <v>1603.2</v>
      </c>
      <c r="G499" s="246">
        <f>1336*(100%+20%)</f>
        <v>1603.2</v>
      </c>
      <c r="H499" s="244">
        <f>1328*(100%+20%)</f>
        <v>1593.6</v>
      </c>
      <c r="I499" s="245">
        <f>1328*(100%+20%)</f>
        <v>1593.6</v>
      </c>
      <c r="J499" s="245">
        <f>1556*(100%+20%)</f>
        <v>1867.1999999999998</v>
      </c>
      <c r="K499" s="246">
        <f>1556*(100%+20%)</f>
        <v>1867.1999999999998</v>
      </c>
    </row>
    <row r="500" spans="1:13" ht="15" customHeight="1">
      <c r="A500" s="86" t="s">
        <v>1137</v>
      </c>
      <c r="B500" s="162" t="s">
        <v>2207</v>
      </c>
      <c r="C500" s="176" t="s">
        <v>9</v>
      </c>
      <c r="D500" s="244">
        <f>1744*(100%+20%)</f>
        <v>2092.7999999999997</v>
      </c>
      <c r="E500" s="245">
        <f>1744*(100%+20%)</f>
        <v>2092.7999999999997</v>
      </c>
      <c r="F500" s="245">
        <f>2100*(100%+20%)</f>
        <v>2520</v>
      </c>
      <c r="G500" s="246">
        <f>2100*(100%+20%)</f>
        <v>2520</v>
      </c>
      <c r="H500" s="244">
        <f>2060*(100%+20%)</f>
        <v>2472</v>
      </c>
      <c r="I500" s="245">
        <f>2060*(100%+20%)</f>
        <v>2472</v>
      </c>
      <c r="J500" s="245">
        <f>2416*(100%+20%)</f>
        <v>2899.2</v>
      </c>
      <c r="K500" s="246">
        <f>2416*(100%+20%)</f>
        <v>2899.2</v>
      </c>
      <c r="L500" s="69"/>
      <c r="M500" s="44"/>
    </row>
    <row r="501" spans="1:13" ht="15" customHeight="1">
      <c r="A501" s="81" t="s">
        <v>1138</v>
      </c>
      <c r="B501" s="162" t="s">
        <v>2198</v>
      </c>
      <c r="C501" s="176" t="s">
        <v>9</v>
      </c>
      <c r="D501" s="244">
        <f>1849*(100%+20%)</f>
        <v>2218.7999999999997</v>
      </c>
      <c r="E501" s="245">
        <f>1849*(100%+20%)</f>
        <v>2218.7999999999997</v>
      </c>
      <c r="F501" s="245">
        <f>2216*(100%+20%)</f>
        <v>2659.2</v>
      </c>
      <c r="G501" s="246">
        <f>2216*(100%+20%)</f>
        <v>2659.2</v>
      </c>
      <c r="H501" s="244">
        <f>2133*(100%+20%)</f>
        <v>2559.6</v>
      </c>
      <c r="I501" s="245">
        <f>2133*(100%+20%)</f>
        <v>2559.6</v>
      </c>
      <c r="J501" s="245">
        <f>2501*(100%+20%)</f>
        <v>3001.2</v>
      </c>
      <c r="K501" s="246">
        <f>2501*(100%+20%)</f>
        <v>3001.2</v>
      </c>
      <c r="L501" s="69"/>
      <c r="M501" s="44"/>
    </row>
    <row r="502" spans="1:13" ht="15" customHeight="1">
      <c r="A502" s="81" t="s">
        <v>1139</v>
      </c>
      <c r="B502" s="162" t="s">
        <v>2199</v>
      </c>
      <c r="C502" s="176" t="s">
        <v>9</v>
      </c>
      <c r="D502" s="244">
        <f>2497*(100%+20%)</f>
        <v>2996.4</v>
      </c>
      <c r="E502" s="245">
        <f>2497*(100%+20%)</f>
        <v>2996.4</v>
      </c>
      <c r="F502" s="245">
        <f>3330*(100%+20%)</f>
        <v>3996</v>
      </c>
      <c r="G502" s="246">
        <f>3330*(100%+20%)</f>
        <v>3996</v>
      </c>
      <c r="H502" s="244">
        <f>4835*(100%+20%)</f>
        <v>5802</v>
      </c>
      <c r="I502" s="245">
        <f>4835*(100%+20%)</f>
        <v>5802</v>
      </c>
      <c r="J502" s="245">
        <f>5668*(100%+20%)</f>
        <v>6801.599999999999</v>
      </c>
      <c r="K502" s="246">
        <f>5668*(100%+20%)</f>
        <v>6801.599999999999</v>
      </c>
      <c r="L502" s="69"/>
      <c r="M502" s="44"/>
    </row>
    <row r="503" spans="1:13" ht="15" customHeight="1">
      <c r="A503" s="98" t="s">
        <v>1140</v>
      </c>
      <c r="B503" s="162" t="s">
        <v>2200</v>
      </c>
      <c r="C503" s="176" t="s">
        <v>9</v>
      </c>
      <c r="D503" s="244">
        <f>2929*(100%+20%)</f>
        <v>3514.7999999999997</v>
      </c>
      <c r="E503" s="245">
        <f>2929*(100%+20%)</f>
        <v>3514.7999999999997</v>
      </c>
      <c r="F503" s="245">
        <f>3689*(100%+20%)</f>
        <v>4426.8</v>
      </c>
      <c r="G503" s="246">
        <f>3689*(100%+20%)</f>
        <v>4426.8</v>
      </c>
      <c r="H503" s="244">
        <f>4413*(100%+20%)</f>
        <v>5295.599999999999</v>
      </c>
      <c r="I503" s="245">
        <f>4413*(100%+20%)</f>
        <v>5295.599999999999</v>
      </c>
      <c r="J503" s="245">
        <f>5175*(100%+20%)</f>
        <v>6210</v>
      </c>
      <c r="K503" s="246">
        <f>5175*(100%+20%)</f>
        <v>6210</v>
      </c>
      <c r="L503" s="69"/>
      <c r="M503" s="44"/>
    </row>
    <row r="504" spans="1:13" ht="15" customHeight="1">
      <c r="A504" s="98" t="s">
        <v>1141</v>
      </c>
      <c r="B504" s="162" t="s">
        <v>2201</v>
      </c>
      <c r="C504" s="176" t="s">
        <v>9</v>
      </c>
      <c r="D504" s="244">
        <f>2752*(100%+20%)</f>
        <v>3302.4</v>
      </c>
      <c r="E504" s="245">
        <f>2752*(100%+20%)</f>
        <v>3302.4</v>
      </c>
      <c r="F504" s="245">
        <f>3367*(100%+20%)</f>
        <v>4040.3999999999996</v>
      </c>
      <c r="G504" s="246">
        <f>3367*(100%+20%)</f>
        <v>4040.3999999999996</v>
      </c>
      <c r="H504" s="244">
        <f>3573*(100%+20%)</f>
        <v>4287.599999999999</v>
      </c>
      <c r="I504" s="245">
        <f>3573*(100%+20%)</f>
        <v>4287.599999999999</v>
      </c>
      <c r="J504" s="245">
        <f>4188*(100%+20%)</f>
        <v>5025.599999999999</v>
      </c>
      <c r="K504" s="246">
        <f>4188*(100%+20%)</f>
        <v>5025.599999999999</v>
      </c>
      <c r="L504" s="69"/>
      <c r="M504" s="44"/>
    </row>
    <row r="505" spans="1:13" ht="15" customHeight="1">
      <c r="A505" s="98" t="s">
        <v>1142</v>
      </c>
      <c r="B505" s="162" t="s">
        <v>2202</v>
      </c>
      <c r="C505" s="176" t="s">
        <v>9</v>
      </c>
      <c r="D505" s="244">
        <f>1909*(100%+20%)</f>
        <v>2290.7999999999997</v>
      </c>
      <c r="E505" s="245">
        <f>1909*(100%+20%)</f>
        <v>2290.7999999999997</v>
      </c>
      <c r="F505" s="245">
        <f>2309*(100%+20%)</f>
        <v>2770.7999999999997</v>
      </c>
      <c r="G505" s="246">
        <f>2309*(100%+20%)</f>
        <v>2770.7999999999997</v>
      </c>
      <c r="H505" s="244">
        <f>2320*(100%+20%)</f>
        <v>2784</v>
      </c>
      <c r="I505" s="245">
        <f>2320*(100%+20%)</f>
        <v>2784</v>
      </c>
      <c r="J505" s="245">
        <f>2720*(100%+20%)</f>
        <v>3264</v>
      </c>
      <c r="K505" s="246">
        <f>2720*(100%+20%)</f>
        <v>3264</v>
      </c>
      <c r="L505" s="69"/>
      <c r="M505" s="44"/>
    </row>
    <row r="506" spans="1:13" ht="15" customHeight="1">
      <c r="A506" s="98" t="s">
        <v>1143</v>
      </c>
      <c r="B506" s="162" t="s">
        <v>2203</v>
      </c>
      <c r="C506" s="176" t="s">
        <v>9</v>
      </c>
      <c r="D506" s="244">
        <f>2347*(100%+20%)</f>
        <v>2816.4</v>
      </c>
      <c r="E506" s="245">
        <f>2347*(100%+20%)</f>
        <v>2816.4</v>
      </c>
      <c r="F506" s="245">
        <f>2833*(100%+20%)</f>
        <v>3399.6</v>
      </c>
      <c r="G506" s="246">
        <f>2833*(100%+20%)</f>
        <v>3399.6</v>
      </c>
      <c r="H506" s="244">
        <f>2822*(100%+20%)</f>
        <v>3386.4</v>
      </c>
      <c r="I506" s="245">
        <f>2822*(100%+20%)</f>
        <v>3386.4</v>
      </c>
      <c r="J506" s="245">
        <f>3307*(100%+20%)</f>
        <v>3968.3999999999996</v>
      </c>
      <c r="K506" s="246">
        <f>3307*(100%+20%)</f>
        <v>3968.3999999999996</v>
      </c>
      <c r="L506" s="69"/>
      <c r="M506" s="44"/>
    </row>
    <row r="507" spans="1:13" ht="15" customHeight="1">
      <c r="A507" s="96"/>
      <c r="B507" s="162" t="s">
        <v>2204</v>
      </c>
      <c r="C507" s="176" t="s">
        <v>9</v>
      </c>
      <c r="D507" s="244">
        <f>1902*(100%+20%)</f>
        <v>2282.4</v>
      </c>
      <c r="E507" s="245">
        <f>1902*(100%+20%)</f>
        <v>2282.4</v>
      </c>
      <c r="F507" s="245">
        <f>2257*(100%+20%)</f>
        <v>2708.4</v>
      </c>
      <c r="G507" s="246">
        <f>2257*(100%+20%)</f>
        <v>2708.4</v>
      </c>
      <c r="H507" s="244">
        <f>2060*(100%+20%)</f>
        <v>2472</v>
      </c>
      <c r="I507" s="245">
        <f>2060*(100%+20%)</f>
        <v>2472</v>
      </c>
      <c r="J507" s="245">
        <f>2416*(100%+20%)</f>
        <v>2899.2</v>
      </c>
      <c r="K507" s="246">
        <f>2416*(100%+20%)</f>
        <v>2899.2</v>
      </c>
      <c r="L507" s="69"/>
      <c r="M507" s="44"/>
    </row>
    <row r="508" spans="1:13" ht="15" customHeight="1" thickBot="1">
      <c r="A508" s="166" t="s">
        <v>1144</v>
      </c>
      <c r="B508" s="162" t="s">
        <v>27</v>
      </c>
      <c r="C508" s="176" t="s">
        <v>9</v>
      </c>
      <c r="D508" s="244">
        <f>3381*(100%+20%)</f>
        <v>4057.2</v>
      </c>
      <c r="E508" s="245">
        <f>3381*(100%+20%)</f>
        <v>4057.2</v>
      </c>
      <c r="F508" s="245">
        <f>3986*(100%+20%)</f>
        <v>4783.2</v>
      </c>
      <c r="G508" s="246">
        <f>3986*(100%+20%)</f>
        <v>4783.2</v>
      </c>
      <c r="H508" s="244">
        <f>3508*(100%+20%)</f>
        <v>4209.599999999999</v>
      </c>
      <c r="I508" s="245">
        <f>3508*(100%+20%)</f>
        <v>4209.599999999999</v>
      </c>
      <c r="J508" s="245">
        <f>4112*(100%+20%)</f>
        <v>4934.4</v>
      </c>
      <c r="K508" s="246">
        <f>4112*(100%+20%)</f>
        <v>4934.4</v>
      </c>
      <c r="L508" s="69"/>
      <c r="M508" s="44"/>
    </row>
    <row r="509" spans="1:11" ht="15" customHeight="1">
      <c r="A509" s="31"/>
      <c r="B509" s="162" t="s">
        <v>2205</v>
      </c>
      <c r="C509" s="176" t="s">
        <v>9</v>
      </c>
      <c r="D509" s="244">
        <f>6541*(100%+20%)</f>
        <v>7849.2</v>
      </c>
      <c r="E509" s="245">
        <f>6541*(100%+20%)</f>
        <v>7849.2</v>
      </c>
      <c r="F509" s="245">
        <f>7795*(100%+20%)</f>
        <v>9354</v>
      </c>
      <c r="G509" s="246">
        <f>7795*(100%+20%)</f>
        <v>9354</v>
      </c>
      <c r="H509" s="244">
        <f>7268*(100%+20%)</f>
        <v>8721.6</v>
      </c>
      <c r="I509" s="245">
        <f>7268*(100%+20%)</f>
        <v>8721.6</v>
      </c>
      <c r="J509" s="245">
        <f>8521*(100%+20%)</f>
        <v>10225.199999999999</v>
      </c>
      <c r="K509" s="246">
        <f>8521*(100%+20%)</f>
        <v>10225.199999999999</v>
      </c>
    </row>
    <row r="510" spans="1:11" ht="15" customHeight="1" thickBot="1">
      <c r="A510" s="31"/>
      <c r="B510" s="163" t="s">
        <v>2206</v>
      </c>
      <c r="C510" s="179" t="s">
        <v>9</v>
      </c>
      <c r="D510" s="250">
        <f>7728*(100%+20%)</f>
        <v>9273.6</v>
      </c>
      <c r="E510" s="251">
        <f>7728*(100%+20%)</f>
        <v>9273.6</v>
      </c>
      <c r="F510" s="251">
        <f>9229*(100%+20%)</f>
        <v>11074.8</v>
      </c>
      <c r="G510" s="252">
        <f>9229*(100%+20%)</f>
        <v>11074.8</v>
      </c>
      <c r="H510" s="250">
        <f>8708*(100%+20%)</f>
        <v>10449.6</v>
      </c>
      <c r="I510" s="251">
        <f>8708*(100%+20%)</f>
        <v>10449.6</v>
      </c>
      <c r="J510" s="251">
        <f>10209*(100%+20%)</f>
        <v>12250.8</v>
      </c>
      <c r="K510" s="252">
        <f>10209*(100%+20%)</f>
        <v>12250.8</v>
      </c>
    </row>
    <row r="511" spans="1:11" ht="21" customHeight="1" thickBot="1">
      <c r="A511" s="31"/>
      <c r="B511" s="333" t="s">
        <v>28</v>
      </c>
      <c r="C511" s="334"/>
      <c r="D511" s="334"/>
      <c r="E511" s="334"/>
      <c r="F511" s="334"/>
      <c r="G511" s="334"/>
      <c r="H511" s="334"/>
      <c r="I511" s="334"/>
      <c r="J511" s="334"/>
      <c r="K511" s="335"/>
    </row>
    <row r="512" spans="1:13" ht="21" customHeight="1" thickBot="1">
      <c r="A512" s="30" t="s">
        <v>1145</v>
      </c>
      <c r="B512" s="350" t="s">
        <v>126</v>
      </c>
      <c r="C512" s="351"/>
      <c r="D512" s="352"/>
      <c r="E512" s="352"/>
      <c r="F512" s="352"/>
      <c r="G512" s="352"/>
      <c r="H512" s="352"/>
      <c r="I512" s="352"/>
      <c r="J512" s="352"/>
      <c r="K512" s="352"/>
      <c r="L512" s="69"/>
      <c r="M512" s="44"/>
    </row>
    <row r="513" spans="1:13" ht="15" customHeight="1" thickBot="1">
      <c r="A513" s="27" t="s">
        <v>1146</v>
      </c>
      <c r="B513" s="314" t="s">
        <v>97</v>
      </c>
      <c r="C513" s="312" t="s">
        <v>1379</v>
      </c>
      <c r="D513" s="316" t="s">
        <v>845</v>
      </c>
      <c r="E513" s="317"/>
      <c r="F513" s="317"/>
      <c r="G513" s="318"/>
      <c r="H513" s="316" t="s">
        <v>846</v>
      </c>
      <c r="I513" s="317"/>
      <c r="J513" s="317"/>
      <c r="K513" s="318"/>
      <c r="L513" s="69"/>
      <c r="M513" s="44"/>
    </row>
    <row r="514" spans="1:13" ht="15" customHeight="1" thickBot="1">
      <c r="A514" s="27" t="s">
        <v>1147</v>
      </c>
      <c r="B514" s="315"/>
      <c r="C514" s="313"/>
      <c r="D514" s="106" t="s">
        <v>847</v>
      </c>
      <c r="E514" s="105" t="s">
        <v>4</v>
      </c>
      <c r="F514" s="103" t="s">
        <v>5</v>
      </c>
      <c r="G514" s="105" t="s">
        <v>1420</v>
      </c>
      <c r="H514" s="103" t="s">
        <v>847</v>
      </c>
      <c r="I514" s="105" t="s">
        <v>4</v>
      </c>
      <c r="J514" s="103" t="s">
        <v>5</v>
      </c>
      <c r="K514" s="105" t="s">
        <v>1420</v>
      </c>
      <c r="L514" s="69"/>
      <c r="M514" s="44"/>
    </row>
    <row r="515" spans="1:13" ht="15" customHeight="1">
      <c r="A515" s="98" t="s">
        <v>1148</v>
      </c>
      <c r="B515" s="161" t="s">
        <v>29</v>
      </c>
      <c r="C515" s="175" t="s">
        <v>30</v>
      </c>
      <c r="D515" s="253">
        <f>515*(100%+20%)</f>
        <v>618</v>
      </c>
      <c r="E515" s="254">
        <f>574*(100%+20%)</f>
        <v>688.8</v>
      </c>
      <c r="F515" s="255">
        <f>727*(100%+20%)</f>
        <v>872.4</v>
      </c>
      <c r="G515" s="256">
        <f>727*(100%+20%)</f>
        <v>872.4</v>
      </c>
      <c r="H515" s="253">
        <f>831*(100%+20%)</f>
        <v>997.1999999999999</v>
      </c>
      <c r="I515" s="254">
        <f>891*(100%+20%)</f>
        <v>1069.2</v>
      </c>
      <c r="J515" s="255">
        <f>1043*(100%+20%)</f>
        <v>1251.6</v>
      </c>
      <c r="K515" s="256">
        <f>1043*(100%+20%)</f>
        <v>1251.6</v>
      </c>
      <c r="L515" s="69"/>
      <c r="M515" s="44"/>
    </row>
    <row r="516" spans="1:13" ht="15" customHeight="1">
      <c r="A516" s="98" t="s">
        <v>1149</v>
      </c>
      <c r="B516" s="162" t="s">
        <v>31</v>
      </c>
      <c r="C516" s="176" t="s">
        <v>9</v>
      </c>
      <c r="D516" s="257">
        <f>1761*(100%+20%)</f>
        <v>2113.2</v>
      </c>
      <c r="E516" s="258">
        <f>1908*(100%+20%)</f>
        <v>2289.6</v>
      </c>
      <c r="F516" s="258">
        <f>2290*(100%+20%)</f>
        <v>2748</v>
      </c>
      <c r="G516" s="259">
        <f>2290*(100%+20%)</f>
        <v>2748</v>
      </c>
      <c r="H516" s="257">
        <f>2077*(100%+20%)</f>
        <v>2492.4</v>
      </c>
      <c r="I516" s="258">
        <f>2224*(100%+20%)</f>
        <v>2668.7999999999997</v>
      </c>
      <c r="J516" s="258">
        <f>2606*(100%+20%)</f>
        <v>3127.2</v>
      </c>
      <c r="K516" s="259">
        <f>2606*(100%+20%)</f>
        <v>3127.2</v>
      </c>
      <c r="L516" s="69"/>
      <c r="M516" s="44"/>
    </row>
    <row r="517" spans="1:13" ht="15" customHeight="1">
      <c r="A517" s="98" t="s">
        <v>1150</v>
      </c>
      <c r="B517" s="162" t="s">
        <v>32</v>
      </c>
      <c r="C517" s="176" t="s">
        <v>9</v>
      </c>
      <c r="D517" s="257">
        <f>1984*(100%+20%)</f>
        <v>2380.7999999999997</v>
      </c>
      <c r="E517" s="258">
        <f>2144*(100%+20%)</f>
        <v>2572.7999999999997</v>
      </c>
      <c r="F517" s="258">
        <f>2568*(100%+20%)</f>
        <v>3081.6</v>
      </c>
      <c r="G517" s="259">
        <f>2568*(100%+20%)</f>
        <v>3081.6</v>
      </c>
      <c r="H517" s="257">
        <f>2300*(100%+20%)</f>
        <v>2760</v>
      </c>
      <c r="I517" s="258">
        <f>2461*(100%+20%)</f>
        <v>2953.2</v>
      </c>
      <c r="J517" s="258">
        <f>2886*(100%+20%)</f>
        <v>3463.2</v>
      </c>
      <c r="K517" s="259">
        <f>2886*(100%+20%)</f>
        <v>3463.2</v>
      </c>
      <c r="L517" s="69"/>
      <c r="M517" s="44"/>
    </row>
    <row r="518" spans="1:13" ht="15" customHeight="1">
      <c r="A518" s="98" t="s">
        <v>1151</v>
      </c>
      <c r="B518" s="162" t="s">
        <v>134</v>
      </c>
      <c r="C518" s="176" t="s">
        <v>9</v>
      </c>
      <c r="D518" s="257">
        <f>36*(100%+20%)</f>
        <v>43.199999999999996</v>
      </c>
      <c r="E518" s="258">
        <f>47*(100%+20%)</f>
        <v>56.4</v>
      </c>
      <c r="F518" s="258">
        <f>77*(100%+20%)</f>
        <v>92.39999999999999</v>
      </c>
      <c r="G518" s="259">
        <f>77*(100%+20%)</f>
        <v>92.39999999999999</v>
      </c>
      <c r="H518" s="257">
        <f>162*(100%+20%)</f>
        <v>194.4</v>
      </c>
      <c r="I518" s="258">
        <f>173*(100%+20%)</f>
        <v>207.6</v>
      </c>
      <c r="J518" s="258">
        <f>203*(100%+20%)</f>
        <v>243.6</v>
      </c>
      <c r="K518" s="259">
        <f>203*(100%+20%)</f>
        <v>243.6</v>
      </c>
      <c r="L518" s="69"/>
      <c r="M518" s="44"/>
    </row>
    <row r="519" spans="1:13" ht="15" customHeight="1" thickBot="1">
      <c r="A519" s="166" t="s">
        <v>1152</v>
      </c>
      <c r="B519" s="162" t="s">
        <v>33</v>
      </c>
      <c r="C519" s="176" t="s">
        <v>9</v>
      </c>
      <c r="D519" s="257">
        <f>472*(100%+20%)</f>
        <v>566.4</v>
      </c>
      <c r="E519" s="258">
        <f>514*(100%+20%)</f>
        <v>616.8</v>
      </c>
      <c r="F519" s="258">
        <f>624*(100%+20%)</f>
        <v>748.8</v>
      </c>
      <c r="G519" s="259">
        <f>624*(100%+20%)</f>
        <v>748.8</v>
      </c>
      <c r="H519" s="257">
        <f>599*(100%+20%)</f>
        <v>718.8</v>
      </c>
      <c r="I519" s="258">
        <f>640*(100%+20%)</f>
        <v>768</v>
      </c>
      <c r="J519" s="258">
        <f>750*(100%+20%)</f>
        <v>900</v>
      </c>
      <c r="K519" s="259">
        <f>750*(100%+20%)</f>
        <v>900</v>
      </c>
      <c r="L519" s="69"/>
      <c r="M519" s="44"/>
    </row>
    <row r="520" spans="1:11" ht="15" customHeight="1">
      <c r="A520" s="31"/>
      <c r="B520" s="162" t="s">
        <v>59</v>
      </c>
      <c r="C520" s="176" t="s">
        <v>9</v>
      </c>
      <c r="D520" s="257">
        <f>472*(100%+20%)</f>
        <v>566.4</v>
      </c>
      <c r="E520" s="258">
        <f>514*(100%+20%)</f>
        <v>616.8</v>
      </c>
      <c r="F520" s="258">
        <f>624*(100%+20%)</f>
        <v>748.8</v>
      </c>
      <c r="G520" s="259">
        <f>624*(100%+20%)</f>
        <v>748.8</v>
      </c>
      <c r="H520" s="257">
        <f>599*(100%+20%)</f>
        <v>718.8</v>
      </c>
      <c r="I520" s="258">
        <f>640*(100%+20%)</f>
        <v>768</v>
      </c>
      <c r="J520" s="258">
        <f>750*(100%+20%)</f>
        <v>900</v>
      </c>
      <c r="K520" s="259">
        <f>750*(100%+20%)</f>
        <v>900</v>
      </c>
    </row>
    <row r="521" spans="1:11" ht="15" customHeight="1">
      <c r="A521" s="31"/>
      <c r="B521" s="162" t="s">
        <v>34</v>
      </c>
      <c r="C521" s="176" t="s">
        <v>9</v>
      </c>
      <c r="D521" s="257">
        <f>402*(100%+20%)</f>
        <v>482.4</v>
      </c>
      <c r="E521" s="258">
        <f>439*(100%+20%)</f>
        <v>526.8</v>
      </c>
      <c r="F521" s="258">
        <f>536*(100%+20%)</f>
        <v>643.1999999999999</v>
      </c>
      <c r="G521" s="259">
        <f>536*(100%+20%)</f>
        <v>643.1999999999999</v>
      </c>
      <c r="H521" s="257">
        <f>529*(100%+20%)</f>
        <v>634.8</v>
      </c>
      <c r="I521" s="258">
        <f>565*(100%+20%)</f>
        <v>678</v>
      </c>
      <c r="J521" s="258">
        <f>663*(100%+20%)</f>
        <v>795.6</v>
      </c>
      <c r="K521" s="259">
        <f>663*(100%+20%)</f>
        <v>795.6</v>
      </c>
    </row>
    <row r="522" spans="1:11" ht="15" customHeight="1" thickBot="1">
      <c r="A522" s="31"/>
      <c r="B522" s="162" t="s">
        <v>35</v>
      </c>
      <c r="C522" s="176" t="s">
        <v>30</v>
      </c>
      <c r="D522" s="257">
        <f>700*(100%+20%)</f>
        <v>840</v>
      </c>
      <c r="E522" s="258">
        <f>756*(100%+20%)</f>
        <v>907.1999999999999</v>
      </c>
      <c r="F522" s="258">
        <f>909*(100%+20%)</f>
        <v>1090.8</v>
      </c>
      <c r="G522" s="259">
        <f>909*(100%+20%)</f>
        <v>1090.8</v>
      </c>
      <c r="H522" s="257">
        <f>827*(100%+20%)</f>
        <v>992.4</v>
      </c>
      <c r="I522" s="258">
        <f>883*(100%+20%)</f>
        <v>1059.6</v>
      </c>
      <c r="J522" s="258">
        <f>1036*(100%+20%)</f>
        <v>1243.2</v>
      </c>
      <c r="K522" s="259">
        <f>1036*(100%+20%)</f>
        <v>1243.2</v>
      </c>
    </row>
    <row r="523" spans="1:13" ht="15" customHeight="1">
      <c r="A523" s="86" t="s">
        <v>1153</v>
      </c>
      <c r="B523" s="162" t="s">
        <v>36</v>
      </c>
      <c r="C523" s="176" t="s">
        <v>9</v>
      </c>
      <c r="D523" s="257">
        <f>918*(100%+20%)</f>
        <v>1101.6</v>
      </c>
      <c r="E523" s="258">
        <f>1005*(100%+20%)</f>
        <v>1206</v>
      </c>
      <c r="F523" s="258">
        <f>1232*(100%+20%)</f>
        <v>1478.3999999999999</v>
      </c>
      <c r="G523" s="259">
        <f>1232*(100%+20%)</f>
        <v>1478.3999999999999</v>
      </c>
      <c r="H523" s="257">
        <f>1235*(100%+20%)</f>
        <v>1482</v>
      </c>
      <c r="I523" s="258">
        <f>1321*(100%+20%)</f>
        <v>1585.2</v>
      </c>
      <c r="J523" s="258">
        <f>1549*(100%+20%)</f>
        <v>1858.8</v>
      </c>
      <c r="K523" s="259">
        <f>1549*(100%+20%)</f>
        <v>1858.8</v>
      </c>
      <c r="L523" s="69"/>
      <c r="M523" s="44"/>
    </row>
    <row r="524" spans="1:13" ht="15" customHeight="1">
      <c r="A524" s="81" t="s">
        <v>1154</v>
      </c>
      <c r="B524" s="162" t="s">
        <v>37</v>
      </c>
      <c r="C524" s="176" t="s">
        <v>9</v>
      </c>
      <c r="D524" s="257">
        <f>1077*(100%+20%)</f>
        <v>1292.3999999999999</v>
      </c>
      <c r="E524" s="258">
        <f>1175*(100%+20%)</f>
        <v>1410</v>
      </c>
      <c r="F524" s="258">
        <f>1432*(100%+20%)</f>
        <v>1718.3999999999999</v>
      </c>
      <c r="G524" s="259">
        <f>1432*(100%+20%)</f>
        <v>1718.3999999999999</v>
      </c>
      <c r="H524" s="257">
        <f>1394*(100%+20%)</f>
        <v>1672.8</v>
      </c>
      <c r="I524" s="258">
        <f>1491*(100%+20%)</f>
        <v>1789.2</v>
      </c>
      <c r="J524" s="258">
        <f>1748*(100%+20%)</f>
        <v>2097.6</v>
      </c>
      <c r="K524" s="259">
        <f>1748*(100%+20%)</f>
        <v>2097.6</v>
      </c>
      <c r="L524" s="69"/>
      <c r="M524" s="44"/>
    </row>
    <row r="525" spans="1:13" ht="15" customHeight="1">
      <c r="A525" s="81" t="s">
        <v>1155</v>
      </c>
      <c r="B525" s="162" t="s">
        <v>38</v>
      </c>
      <c r="C525" s="176" t="s">
        <v>30</v>
      </c>
      <c r="D525" s="257">
        <f>192*(100%+20%)</f>
        <v>230.39999999999998</v>
      </c>
      <c r="E525" s="258">
        <f>228*(100%+20%)</f>
        <v>273.59999999999997</v>
      </c>
      <c r="F525" s="258">
        <f>321*(100%+20%)</f>
        <v>385.2</v>
      </c>
      <c r="G525" s="259">
        <f>321*(100%+20%)</f>
        <v>385.2</v>
      </c>
      <c r="H525" s="257">
        <f>508*(100%+20%)</f>
        <v>609.6</v>
      </c>
      <c r="I525" s="258">
        <f>545*(100%+20%)</f>
        <v>654</v>
      </c>
      <c r="J525" s="258">
        <f>637*(100%+20%)</f>
        <v>764.4</v>
      </c>
      <c r="K525" s="259">
        <f>637*(100%+20%)</f>
        <v>764.4</v>
      </c>
      <c r="L525" s="69"/>
      <c r="M525" s="44"/>
    </row>
    <row r="526" spans="1:13" ht="15" customHeight="1" thickBot="1">
      <c r="A526" s="82" t="s">
        <v>1156</v>
      </c>
      <c r="B526" s="162" t="s">
        <v>39</v>
      </c>
      <c r="C526" s="176" t="s">
        <v>9</v>
      </c>
      <c r="D526" s="257">
        <f>753*(100%+20%)</f>
        <v>903.6</v>
      </c>
      <c r="E526" s="258">
        <f>828*(100%+20%)</f>
        <v>993.5999999999999</v>
      </c>
      <c r="F526" s="258">
        <f>1025*(100%+20%)</f>
        <v>1230</v>
      </c>
      <c r="G526" s="259">
        <f>1025*(100%+20%)</f>
        <v>1230</v>
      </c>
      <c r="H526" s="257">
        <f>1069*(100%+20%)</f>
        <v>1282.8</v>
      </c>
      <c r="I526" s="258">
        <f>1144*(100%+20%)</f>
        <v>1372.8</v>
      </c>
      <c r="J526" s="258">
        <f>1342*(100%+20%)</f>
        <v>1610.3999999999999</v>
      </c>
      <c r="K526" s="259">
        <f>1342*(100%+20%)</f>
        <v>1610.3999999999999</v>
      </c>
      <c r="L526" s="69"/>
      <c r="M526" s="44"/>
    </row>
    <row r="527" spans="1:11" ht="15" customHeight="1">
      <c r="A527" s="25"/>
      <c r="B527" s="162" t="s">
        <v>40</v>
      </c>
      <c r="C527" s="176" t="s">
        <v>9</v>
      </c>
      <c r="D527" s="257">
        <f>923*(100%+20%)</f>
        <v>1107.6</v>
      </c>
      <c r="E527" s="258">
        <f>1009*(100%+20%)</f>
        <v>1210.8</v>
      </c>
      <c r="F527" s="258">
        <f>1237*(100%+20%)</f>
        <v>1484.3999999999999</v>
      </c>
      <c r="G527" s="259">
        <f>1237*(100%+20%)</f>
        <v>1484.3999999999999</v>
      </c>
      <c r="H527" s="257">
        <f>1239*(100%+20%)</f>
        <v>1486.8</v>
      </c>
      <c r="I527" s="258">
        <f>1325*(100%+20%)</f>
        <v>1590</v>
      </c>
      <c r="J527" s="258">
        <f>1553*(100%+20%)</f>
        <v>1863.6</v>
      </c>
      <c r="K527" s="259">
        <f>1553*(100%+20%)</f>
        <v>1863.6</v>
      </c>
    </row>
    <row r="528" spans="1:11" ht="15" customHeight="1">
      <c r="A528" s="25"/>
      <c r="B528" s="162" t="s">
        <v>86</v>
      </c>
      <c r="C528" s="176" t="s">
        <v>9</v>
      </c>
      <c r="D528" s="257">
        <f>354*(100%+20%)</f>
        <v>424.8</v>
      </c>
      <c r="E528" s="258">
        <f>387*(100%+20%)</f>
        <v>464.4</v>
      </c>
      <c r="F528" s="258">
        <f aca="true" t="shared" si="2" ref="F528:G531">476*(100%+20%)</f>
        <v>571.1999999999999</v>
      </c>
      <c r="G528" s="259">
        <f t="shared" si="2"/>
        <v>571.1999999999999</v>
      </c>
      <c r="H528" s="257">
        <f>481*(100%+20%)</f>
        <v>577.1999999999999</v>
      </c>
      <c r="I528" s="258">
        <f>514*(100%+20%)</f>
        <v>616.8</v>
      </c>
      <c r="J528" s="258">
        <f aca="true" t="shared" si="3" ref="J528:K531">601*(100%+20%)</f>
        <v>721.1999999999999</v>
      </c>
      <c r="K528" s="259">
        <f t="shared" si="3"/>
        <v>721.1999999999999</v>
      </c>
    </row>
    <row r="529" spans="1:11" ht="15" customHeight="1" thickBot="1">
      <c r="A529" s="25"/>
      <c r="B529" s="162" t="s">
        <v>87</v>
      </c>
      <c r="C529" s="176" t="s">
        <v>9</v>
      </c>
      <c r="D529" s="257">
        <f>354*(100%+20%)</f>
        <v>424.8</v>
      </c>
      <c r="E529" s="258">
        <f>387*(100%+20%)</f>
        <v>464.4</v>
      </c>
      <c r="F529" s="258">
        <f t="shared" si="2"/>
        <v>571.1999999999999</v>
      </c>
      <c r="G529" s="259">
        <f t="shared" si="2"/>
        <v>571.1999999999999</v>
      </c>
      <c r="H529" s="257">
        <f>481*(100%+20%)</f>
        <v>577.1999999999999</v>
      </c>
      <c r="I529" s="258">
        <f>514*(100%+20%)</f>
        <v>616.8</v>
      </c>
      <c r="J529" s="258">
        <f t="shared" si="3"/>
        <v>721.1999999999999</v>
      </c>
      <c r="K529" s="259">
        <f t="shared" si="3"/>
        <v>721.1999999999999</v>
      </c>
    </row>
    <row r="530" spans="1:13" ht="15" customHeight="1">
      <c r="A530" s="86" t="s">
        <v>1157</v>
      </c>
      <c r="B530" s="162" t="s">
        <v>83</v>
      </c>
      <c r="C530" s="176" t="s">
        <v>9</v>
      </c>
      <c r="D530" s="257">
        <f>354*(100%+20%)</f>
        <v>424.8</v>
      </c>
      <c r="E530" s="258">
        <f>387*(100%+20%)</f>
        <v>464.4</v>
      </c>
      <c r="F530" s="258">
        <f t="shared" si="2"/>
        <v>571.1999999999999</v>
      </c>
      <c r="G530" s="259">
        <f t="shared" si="2"/>
        <v>571.1999999999999</v>
      </c>
      <c r="H530" s="257">
        <f>481*(100%+20%)</f>
        <v>577.1999999999999</v>
      </c>
      <c r="I530" s="258">
        <f>514*(100%+20%)</f>
        <v>616.8</v>
      </c>
      <c r="J530" s="258">
        <f t="shared" si="3"/>
        <v>721.1999999999999</v>
      </c>
      <c r="K530" s="259">
        <f t="shared" si="3"/>
        <v>721.1999999999999</v>
      </c>
      <c r="L530" s="69"/>
      <c r="M530" s="44"/>
    </row>
    <row r="531" spans="1:13" ht="15" customHeight="1">
      <c r="A531" s="98" t="s">
        <v>1158</v>
      </c>
      <c r="B531" s="162" t="s">
        <v>84</v>
      </c>
      <c r="C531" s="176" t="s">
        <v>9</v>
      </c>
      <c r="D531" s="257">
        <f>354*(100%+20%)</f>
        <v>424.8</v>
      </c>
      <c r="E531" s="258">
        <f>387*(100%+20%)</f>
        <v>464.4</v>
      </c>
      <c r="F531" s="258">
        <f t="shared" si="2"/>
        <v>571.1999999999999</v>
      </c>
      <c r="G531" s="259">
        <f t="shared" si="2"/>
        <v>571.1999999999999</v>
      </c>
      <c r="H531" s="257">
        <f>481*(100%+20%)</f>
        <v>577.1999999999999</v>
      </c>
      <c r="I531" s="258">
        <f>514*(100%+20%)</f>
        <v>616.8</v>
      </c>
      <c r="J531" s="258">
        <f t="shared" si="3"/>
        <v>721.1999999999999</v>
      </c>
      <c r="K531" s="259">
        <f t="shared" si="3"/>
        <v>721.1999999999999</v>
      </c>
      <c r="L531" s="69"/>
      <c r="M531" s="44"/>
    </row>
    <row r="532" spans="1:13" ht="15" customHeight="1">
      <c r="A532" s="96" t="s">
        <v>1159</v>
      </c>
      <c r="B532" s="162" t="s">
        <v>85</v>
      </c>
      <c r="C532" s="179" t="s">
        <v>9</v>
      </c>
      <c r="D532" s="257">
        <f>113*(100%+20%)</f>
        <v>135.6</v>
      </c>
      <c r="E532" s="258">
        <f>129*(100%+20%)</f>
        <v>154.79999999999998</v>
      </c>
      <c r="F532" s="258">
        <f>173*(100%+20%)</f>
        <v>207.6</v>
      </c>
      <c r="G532" s="259">
        <f>173*(100%+20%)</f>
        <v>207.6</v>
      </c>
      <c r="H532" s="257">
        <f>240*(100%+20%)</f>
        <v>288</v>
      </c>
      <c r="I532" s="258">
        <f>256*(100%+20%)</f>
        <v>307.2</v>
      </c>
      <c r="J532" s="258">
        <f>300*(100%+20%)</f>
        <v>360</v>
      </c>
      <c r="K532" s="259">
        <f>300*(100%+20%)</f>
        <v>360</v>
      </c>
      <c r="L532" s="69"/>
      <c r="M532" s="44"/>
    </row>
    <row r="533" spans="1:13" ht="15" customHeight="1">
      <c r="A533" s="96"/>
      <c r="B533" s="162" t="s">
        <v>1514</v>
      </c>
      <c r="C533" s="177" t="s">
        <v>9</v>
      </c>
      <c r="D533" s="257">
        <f>354*(100%+20%)</f>
        <v>424.8</v>
      </c>
      <c r="E533" s="258">
        <f>387*(100%+20%)</f>
        <v>464.4</v>
      </c>
      <c r="F533" s="258">
        <f aca="true" t="shared" si="4" ref="F533:G536">476*(100%+20%)</f>
        <v>571.1999999999999</v>
      </c>
      <c r="G533" s="259">
        <f t="shared" si="4"/>
        <v>571.1999999999999</v>
      </c>
      <c r="H533" s="257">
        <f>481*(100%+20%)</f>
        <v>577.1999999999999</v>
      </c>
      <c r="I533" s="258">
        <f>514*(100%+20%)</f>
        <v>616.8</v>
      </c>
      <c r="J533" s="258">
        <f aca="true" t="shared" si="5" ref="J533:K536">601*(100%+20%)</f>
        <v>721.1999999999999</v>
      </c>
      <c r="K533" s="259">
        <f t="shared" si="5"/>
        <v>721.1999999999999</v>
      </c>
      <c r="L533" s="69"/>
      <c r="M533" s="44"/>
    </row>
    <row r="534" spans="1:13" ht="15" customHeight="1">
      <c r="A534" s="96"/>
      <c r="B534" s="162" t="s">
        <v>1515</v>
      </c>
      <c r="C534" s="177" t="s">
        <v>9</v>
      </c>
      <c r="D534" s="257">
        <f>354*(100%+20%)</f>
        <v>424.8</v>
      </c>
      <c r="E534" s="258">
        <f>387*(100%+20%)</f>
        <v>464.4</v>
      </c>
      <c r="F534" s="258">
        <f t="shared" si="4"/>
        <v>571.1999999999999</v>
      </c>
      <c r="G534" s="259">
        <f t="shared" si="4"/>
        <v>571.1999999999999</v>
      </c>
      <c r="H534" s="257">
        <f>481*(100%+20%)</f>
        <v>577.1999999999999</v>
      </c>
      <c r="I534" s="258">
        <f>514*(100%+20%)</f>
        <v>616.8</v>
      </c>
      <c r="J534" s="258">
        <f t="shared" si="5"/>
        <v>721.1999999999999</v>
      </c>
      <c r="K534" s="259">
        <f t="shared" si="5"/>
        <v>721.1999999999999</v>
      </c>
      <c r="L534" s="69"/>
      <c r="M534" s="44"/>
    </row>
    <row r="535" spans="1:13" ht="15" customHeight="1">
      <c r="A535" s="96"/>
      <c r="B535" s="162" t="s">
        <v>1516</v>
      </c>
      <c r="C535" s="177" t="s">
        <v>9</v>
      </c>
      <c r="D535" s="257">
        <f>354*(100%+20%)</f>
        <v>424.8</v>
      </c>
      <c r="E535" s="258">
        <f>387*(100%+20%)</f>
        <v>464.4</v>
      </c>
      <c r="F535" s="258">
        <f t="shared" si="4"/>
        <v>571.1999999999999</v>
      </c>
      <c r="G535" s="259">
        <f t="shared" si="4"/>
        <v>571.1999999999999</v>
      </c>
      <c r="H535" s="257">
        <f>481*(100%+20%)</f>
        <v>577.1999999999999</v>
      </c>
      <c r="I535" s="258">
        <f>514*(100%+20%)</f>
        <v>616.8</v>
      </c>
      <c r="J535" s="258">
        <f t="shared" si="5"/>
        <v>721.1999999999999</v>
      </c>
      <c r="K535" s="259">
        <f t="shared" si="5"/>
        <v>721.1999999999999</v>
      </c>
      <c r="L535" s="69"/>
      <c r="M535" s="44"/>
    </row>
    <row r="536" spans="1:13" ht="15" customHeight="1">
      <c r="A536" s="96"/>
      <c r="B536" s="162" t="s">
        <v>1517</v>
      </c>
      <c r="C536" s="177" t="s">
        <v>9</v>
      </c>
      <c r="D536" s="257">
        <f>354*(100%+20%)</f>
        <v>424.8</v>
      </c>
      <c r="E536" s="258">
        <f>387*(100%+20%)</f>
        <v>464.4</v>
      </c>
      <c r="F536" s="258">
        <f t="shared" si="4"/>
        <v>571.1999999999999</v>
      </c>
      <c r="G536" s="259">
        <f t="shared" si="4"/>
        <v>571.1999999999999</v>
      </c>
      <c r="H536" s="257">
        <f>481*(100%+20%)</f>
        <v>577.1999999999999</v>
      </c>
      <c r="I536" s="258">
        <f>514*(100%+20%)</f>
        <v>616.8</v>
      </c>
      <c r="J536" s="258">
        <f t="shared" si="5"/>
        <v>721.1999999999999</v>
      </c>
      <c r="K536" s="259">
        <f t="shared" si="5"/>
        <v>721.1999999999999</v>
      </c>
      <c r="L536" s="69"/>
      <c r="M536" s="44"/>
    </row>
    <row r="537" spans="1:13" ht="15" customHeight="1" thickBot="1">
      <c r="A537" s="96"/>
      <c r="B537" s="163" t="s">
        <v>1518</v>
      </c>
      <c r="C537" s="180" t="s">
        <v>9</v>
      </c>
      <c r="D537" s="260">
        <f>113*(100%+20%)</f>
        <v>135.6</v>
      </c>
      <c r="E537" s="261">
        <f>129*(100%+20%)</f>
        <v>154.79999999999998</v>
      </c>
      <c r="F537" s="261">
        <f>173*(100%+20%)</f>
        <v>207.6</v>
      </c>
      <c r="G537" s="262">
        <f>173*(100%+20%)</f>
        <v>207.6</v>
      </c>
      <c r="H537" s="260">
        <f>240*(100%+20%)</f>
        <v>288</v>
      </c>
      <c r="I537" s="261">
        <f>256*(100%+20%)</f>
        <v>307.2</v>
      </c>
      <c r="J537" s="261">
        <f>300*(100%+20%)</f>
        <v>360</v>
      </c>
      <c r="K537" s="262">
        <f>300*(100%+20%)</f>
        <v>360</v>
      </c>
      <c r="L537" s="69"/>
      <c r="M537" s="44"/>
    </row>
    <row r="538" spans="1:13" ht="21" customHeight="1" thickBot="1">
      <c r="A538" s="99" t="s">
        <v>1160</v>
      </c>
      <c r="B538" s="325" t="s">
        <v>127</v>
      </c>
      <c r="C538" s="351"/>
      <c r="D538" s="352"/>
      <c r="E538" s="352"/>
      <c r="F538" s="352"/>
      <c r="G538" s="352"/>
      <c r="H538" s="352"/>
      <c r="I538" s="352"/>
      <c r="J538" s="352"/>
      <c r="K538" s="365"/>
      <c r="L538" s="69"/>
      <c r="M538" s="44"/>
    </row>
    <row r="539" spans="1:11" ht="15" customHeight="1" thickBot="1">
      <c r="A539" s="18"/>
      <c r="B539" s="314" t="s">
        <v>97</v>
      </c>
      <c r="C539" s="312" t="s">
        <v>1379</v>
      </c>
      <c r="D539" s="316" t="s">
        <v>845</v>
      </c>
      <c r="E539" s="361"/>
      <c r="F539" s="317"/>
      <c r="G539" s="362"/>
      <c r="H539" s="316" t="s">
        <v>846</v>
      </c>
      <c r="I539" s="361"/>
      <c r="J539" s="317"/>
      <c r="K539" s="362"/>
    </row>
    <row r="540" spans="1:11" ht="15" customHeight="1" thickBot="1">
      <c r="A540" s="18"/>
      <c r="B540" s="315"/>
      <c r="C540" s="363"/>
      <c r="D540" s="106" t="s">
        <v>847</v>
      </c>
      <c r="E540" s="105" t="s">
        <v>4</v>
      </c>
      <c r="F540" s="103" t="s">
        <v>5</v>
      </c>
      <c r="G540" s="105" t="s">
        <v>1420</v>
      </c>
      <c r="H540" s="103" t="s">
        <v>847</v>
      </c>
      <c r="I540" s="105" t="s">
        <v>4</v>
      </c>
      <c r="J540" s="103" t="s">
        <v>5</v>
      </c>
      <c r="K540" s="105" t="s">
        <v>1420</v>
      </c>
    </row>
    <row r="541" spans="1:11" ht="15" customHeight="1" thickBot="1">
      <c r="A541" s="18"/>
      <c r="B541" s="161" t="s">
        <v>41</v>
      </c>
      <c r="C541" s="175" t="s">
        <v>30</v>
      </c>
      <c r="D541" s="263">
        <f>379*(100%+20%)</f>
        <v>454.8</v>
      </c>
      <c r="E541" s="254">
        <f>427*(100%+20%)</f>
        <v>512.4</v>
      </c>
      <c r="F541" s="254">
        <f>556*(100%+20%)</f>
        <v>667.1999999999999</v>
      </c>
      <c r="G541" s="256">
        <f>556*(100%+20%)</f>
        <v>667.1999999999999</v>
      </c>
      <c r="H541" s="263">
        <f>695*(100%+20%)</f>
        <v>834</v>
      </c>
      <c r="I541" s="254">
        <f>744*(100%+20%)</f>
        <v>892.8</v>
      </c>
      <c r="J541" s="254">
        <f>872*(100%+20%)</f>
        <v>1046.3999999999999</v>
      </c>
      <c r="K541" s="256">
        <f>872*(100%+20%)</f>
        <v>1046.3999999999999</v>
      </c>
    </row>
    <row r="542" spans="1:13" ht="15" customHeight="1">
      <c r="A542" s="86" t="s">
        <v>1161</v>
      </c>
      <c r="B542" s="162" t="s">
        <v>73</v>
      </c>
      <c r="C542" s="176" t="s">
        <v>9</v>
      </c>
      <c r="D542" s="257">
        <f>1325*(100%+20%)</f>
        <v>1590</v>
      </c>
      <c r="E542" s="258">
        <f>1440*(100%+20%)</f>
        <v>1728</v>
      </c>
      <c r="F542" s="258">
        <f>1743*(100%+20%)</f>
        <v>2091.6</v>
      </c>
      <c r="G542" s="259">
        <f>1743*(100%+20%)</f>
        <v>2091.6</v>
      </c>
      <c r="H542" s="257">
        <f>1641*(100%+20%)</f>
        <v>1969.1999999999998</v>
      </c>
      <c r="I542" s="258">
        <f>1756*(100%+20%)</f>
        <v>2107.2</v>
      </c>
      <c r="J542" s="258">
        <f>2059*(100%+20%)</f>
        <v>2470.7999999999997</v>
      </c>
      <c r="K542" s="259">
        <f>2059*(100%+20%)</f>
        <v>2470.7999999999997</v>
      </c>
      <c r="L542" s="69"/>
      <c r="M542" s="44"/>
    </row>
    <row r="543" spans="1:13" ht="15" customHeight="1">
      <c r="A543" s="74"/>
      <c r="B543" s="162" t="s">
        <v>42</v>
      </c>
      <c r="C543" s="176" t="s">
        <v>9</v>
      </c>
      <c r="D543" s="257">
        <f>1540*(100%+20%)</f>
        <v>1848</v>
      </c>
      <c r="E543" s="258">
        <f>1669*(100%+20%)</f>
        <v>2002.8</v>
      </c>
      <c r="F543" s="258">
        <f>2012*(100%+20%)</f>
        <v>2414.4</v>
      </c>
      <c r="G543" s="259">
        <f>2012*(100%+20%)</f>
        <v>2414.4</v>
      </c>
      <c r="H543" s="257">
        <f>1856*(100%+20%)</f>
        <v>2227.2</v>
      </c>
      <c r="I543" s="258">
        <f>1985*(100%+20%)</f>
        <v>2382</v>
      </c>
      <c r="J543" s="258">
        <f>2328*(100%+20%)</f>
        <v>2793.6</v>
      </c>
      <c r="K543" s="259">
        <f>2328*(100%+20%)</f>
        <v>2793.6</v>
      </c>
      <c r="L543" s="69"/>
      <c r="M543" s="44"/>
    </row>
    <row r="544" spans="1:13" ht="15" customHeight="1">
      <c r="A544" s="74" t="s">
        <v>1162</v>
      </c>
      <c r="B544" s="162" t="s">
        <v>43</v>
      </c>
      <c r="C544" s="176" t="s">
        <v>30</v>
      </c>
      <c r="D544" s="257">
        <f>192*(100%+20%)</f>
        <v>230.39999999999998</v>
      </c>
      <c r="E544" s="258">
        <f>228*(100%+20%)</f>
        <v>273.59999999999997</v>
      </c>
      <c r="F544" s="258">
        <f>321*(100%+20%)</f>
        <v>385.2</v>
      </c>
      <c r="G544" s="259">
        <f>321*(100%+20%)</f>
        <v>385.2</v>
      </c>
      <c r="H544" s="257">
        <f>508*(100%+20%)</f>
        <v>609.6</v>
      </c>
      <c r="I544" s="258">
        <f>545*(100%+20%)</f>
        <v>654</v>
      </c>
      <c r="J544" s="258">
        <f>637*(100%+20%)</f>
        <v>764.4</v>
      </c>
      <c r="K544" s="259">
        <f>637*(100%+20%)</f>
        <v>764.4</v>
      </c>
      <c r="L544" s="69"/>
      <c r="M544" s="44"/>
    </row>
    <row r="545" spans="1:13" ht="15" customHeight="1">
      <c r="A545" s="74" t="s">
        <v>1163</v>
      </c>
      <c r="B545" s="162" t="s">
        <v>44</v>
      </c>
      <c r="C545" s="176" t="s">
        <v>9</v>
      </c>
      <c r="D545" s="257">
        <f>753*(100%+20%)</f>
        <v>903.6</v>
      </c>
      <c r="E545" s="258">
        <f>828*(100%+20%)</f>
        <v>993.5999999999999</v>
      </c>
      <c r="F545" s="258">
        <f>1025*(100%+20%)</f>
        <v>1230</v>
      </c>
      <c r="G545" s="259">
        <f>1025*(100%+20%)</f>
        <v>1230</v>
      </c>
      <c r="H545" s="257">
        <f>1069*(100%+20%)</f>
        <v>1282.8</v>
      </c>
      <c r="I545" s="258">
        <f>1144*(100%+20%)</f>
        <v>1372.8</v>
      </c>
      <c r="J545" s="258">
        <f>1342*(100%+20%)</f>
        <v>1610.3999999999999</v>
      </c>
      <c r="K545" s="259">
        <f>1342*(100%+20%)</f>
        <v>1610.3999999999999</v>
      </c>
      <c r="L545" s="69"/>
      <c r="M545" s="44"/>
    </row>
    <row r="546" spans="1:13" ht="15" customHeight="1" thickBot="1">
      <c r="A546" s="74" t="s">
        <v>1164</v>
      </c>
      <c r="B546" s="163" t="s">
        <v>45</v>
      </c>
      <c r="C546" s="178" t="s">
        <v>9</v>
      </c>
      <c r="D546" s="260">
        <f>844*(100%+20%)</f>
        <v>1012.8</v>
      </c>
      <c r="E546" s="261">
        <f>925*(100%+20%)</f>
        <v>1110</v>
      </c>
      <c r="F546" s="261">
        <f>1138*(100%+20%)</f>
        <v>1365.6</v>
      </c>
      <c r="G546" s="262">
        <f>1138*(100%+20%)</f>
        <v>1365.6</v>
      </c>
      <c r="H546" s="260">
        <f>1160*(100%+20%)</f>
        <v>1392</v>
      </c>
      <c r="I546" s="261">
        <f>1241*(100%+20%)</f>
        <v>1489.2</v>
      </c>
      <c r="J546" s="261">
        <f>1454*(100%+20%)</f>
        <v>1744.8</v>
      </c>
      <c r="K546" s="262">
        <f>1454*(100%+20%)</f>
        <v>1744.8</v>
      </c>
      <c r="L546" s="69"/>
      <c r="M546" s="44"/>
    </row>
    <row r="547" spans="1:13" ht="21" customHeight="1" thickBot="1">
      <c r="A547" s="74" t="s">
        <v>1165</v>
      </c>
      <c r="B547" s="325" t="s">
        <v>102</v>
      </c>
      <c r="C547" s="326"/>
      <c r="D547" s="337"/>
      <c r="E547" s="337"/>
      <c r="F547" s="337"/>
      <c r="G547" s="337"/>
      <c r="H547" s="337"/>
      <c r="I547" s="337"/>
      <c r="J547" s="337"/>
      <c r="K547" s="338"/>
      <c r="L547" s="69"/>
      <c r="M547" s="44"/>
    </row>
    <row r="548" spans="1:13" ht="15" customHeight="1" thickBot="1">
      <c r="A548" s="21" t="s">
        <v>1166</v>
      </c>
      <c r="B548" s="314" t="s">
        <v>97</v>
      </c>
      <c r="C548" s="312" t="s">
        <v>1379</v>
      </c>
      <c r="D548" s="316" t="s">
        <v>845</v>
      </c>
      <c r="E548" s="317"/>
      <c r="F548" s="317"/>
      <c r="G548" s="318"/>
      <c r="H548" s="316" t="s">
        <v>846</v>
      </c>
      <c r="I548" s="317"/>
      <c r="J548" s="317"/>
      <c r="K548" s="318"/>
      <c r="L548" s="69"/>
      <c r="M548" s="44"/>
    </row>
    <row r="549" spans="1:13" ht="15" customHeight="1" thickBot="1">
      <c r="A549" s="21" t="s">
        <v>1167</v>
      </c>
      <c r="B549" s="315"/>
      <c r="C549" s="313"/>
      <c r="D549" s="106" t="s">
        <v>847</v>
      </c>
      <c r="E549" s="105" t="s">
        <v>4</v>
      </c>
      <c r="F549" s="103" t="s">
        <v>5</v>
      </c>
      <c r="G549" s="105" t="s">
        <v>1420</v>
      </c>
      <c r="H549" s="103" t="s">
        <v>847</v>
      </c>
      <c r="I549" s="105" t="s">
        <v>4</v>
      </c>
      <c r="J549" s="103" t="s">
        <v>5</v>
      </c>
      <c r="K549" s="105" t="s">
        <v>1420</v>
      </c>
      <c r="L549" s="69"/>
      <c r="M549" s="44"/>
    </row>
    <row r="550" spans="1:13" ht="15" customHeight="1">
      <c r="A550" s="74" t="s">
        <v>1168</v>
      </c>
      <c r="B550" s="161" t="s">
        <v>111</v>
      </c>
      <c r="C550" s="175" t="s">
        <v>30</v>
      </c>
      <c r="D550" s="253">
        <f>654*(100%+20%)</f>
        <v>784.8</v>
      </c>
      <c r="E550" s="254">
        <f>722*(100%+20%)</f>
        <v>866.4</v>
      </c>
      <c r="F550" s="255">
        <f>900*(100%+20%)</f>
        <v>1080</v>
      </c>
      <c r="G550" s="256">
        <f>900*(100%+20%)</f>
        <v>1080</v>
      </c>
      <c r="H550" s="253">
        <f>970*(100%+20%)</f>
        <v>1164</v>
      </c>
      <c r="I550" s="254">
        <f>1038*(100%+20%)</f>
        <v>1245.6</v>
      </c>
      <c r="J550" s="255">
        <f>1216*(100%+20%)</f>
        <v>1459.2</v>
      </c>
      <c r="K550" s="256">
        <f>1216*(100%+20%)</f>
        <v>1459.2</v>
      </c>
      <c r="L550" s="69"/>
      <c r="M550" s="44"/>
    </row>
    <row r="551" spans="1:13" ht="15" customHeight="1">
      <c r="A551" s="74" t="s">
        <v>1169</v>
      </c>
      <c r="B551" s="162" t="s">
        <v>112</v>
      </c>
      <c r="C551" s="176" t="s">
        <v>9</v>
      </c>
      <c r="D551" s="257">
        <f>3261*(100%+20%)</f>
        <v>3913.2</v>
      </c>
      <c r="E551" s="258">
        <f>3512*(100%+20%)</f>
        <v>4214.4</v>
      </c>
      <c r="F551" s="258">
        <f>4171*(100%+20%)</f>
        <v>5005.2</v>
      </c>
      <c r="G551" s="259">
        <f>4171*(100%+20%)</f>
        <v>5005.2</v>
      </c>
      <c r="H551" s="257">
        <f>3577*(100%+20%)</f>
        <v>4292.4</v>
      </c>
      <c r="I551" s="258">
        <f>3828*(100%+20%)</f>
        <v>4593.599999999999</v>
      </c>
      <c r="J551" s="258">
        <f>4487*(100%+20%)</f>
        <v>5384.4</v>
      </c>
      <c r="K551" s="259">
        <f>4487*(100%+20%)</f>
        <v>5384.4</v>
      </c>
      <c r="L551" s="69"/>
      <c r="M551" s="44"/>
    </row>
    <row r="552" spans="1:13" ht="15" customHeight="1">
      <c r="A552" s="74" t="s">
        <v>1170</v>
      </c>
      <c r="B552" s="162" t="s">
        <v>113</v>
      </c>
      <c r="C552" s="176" t="s">
        <v>9</v>
      </c>
      <c r="D552" s="257">
        <f>3261*(100%+20%)</f>
        <v>3913.2</v>
      </c>
      <c r="E552" s="258">
        <f>3512*(100%+20%)</f>
        <v>4214.4</v>
      </c>
      <c r="F552" s="258">
        <f>4171*(100%+20%)</f>
        <v>5005.2</v>
      </c>
      <c r="G552" s="259">
        <f>4171*(100%+20%)</f>
        <v>5005.2</v>
      </c>
      <c r="H552" s="257">
        <f>3577*(100%+20%)</f>
        <v>4292.4</v>
      </c>
      <c r="I552" s="258">
        <f>3828*(100%+20%)</f>
        <v>4593.599999999999</v>
      </c>
      <c r="J552" s="258">
        <f>4487*(100%+20%)</f>
        <v>5384.4</v>
      </c>
      <c r="K552" s="259">
        <f>4487*(100%+20%)</f>
        <v>5384.4</v>
      </c>
      <c r="L552" s="69"/>
      <c r="M552" s="44"/>
    </row>
    <row r="553" spans="1:13" ht="15" customHeight="1">
      <c r="A553" s="74" t="s">
        <v>1171</v>
      </c>
      <c r="B553" s="162" t="s">
        <v>164</v>
      </c>
      <c r="C553" s="176" t="s">
        <v>9</v>
      </c>
      <c r="D553" s="257">
        <f>690*(100%+20%)</f>
        <v>828</v>
      </c>
      <c r="E553" s="258">
        <f>749*(100%+20%)</f>
        <v>898.8</v>
      </c>
      <c r="F553" s="258">
        <f>899*(100%+20%)</f>
        <v>1078.8</v>
      </c>
      <c r="G553" s="259">
        <f>899*(100%+20%)</f>
        <v>1078.8</v>
      </c>
      <c r="H553" s="257">
        <f>817*(100%+20%)</f>
        <v>980.4</v>
      </c>
      <c r="I553" s="258">
        <f>875*(100%+20%)</f>
        <v>1050</v>
      </c>
      <c r="J553" s="258">
        <f>1026*(100%+20%)</f>
        <v>1231.2</v>
      </c>
      <c r="K553" s="259">
        <f>1026*(100%+20%)</f>
        <v>1231.2</v>
      </c>
      <c r="L553" s="69"/>
      <c r="M553" s="44"/>
    </row>
    <row r="554" spans="1:13" ht="15" customHeight="1">
      <c r="A554" s="74" t="s">
        <v>1172</v>
      </c>
      <c r="B554" s="162" t="s">
        <v>165</v>
      </c>
      <c r="C554" s="176" t="s">
        <v>9</v>
      </c>
      <c r="D554" s="257">
        <f>744*(100%+20%)</f>
        <v>892.8</v>
      </c>
      <c r="E554" s="258">
        <f>806*(100%+20%)</f>
        <v>967.1999999999999</v>
      </c>
      <c r="F554" s="258">
        <f aca="true" t="shared" si="6" ref="F554:G557">967*(100%+20%)</f>
        <v>1160.3999999999999</v>
      </c>
      <c r="G554" s="259">
        <f t="shared" si="6"/>
        <v>1160.3999999999999</v>
      </c>
      <c r="H554" s="257">
        <f>870*(100%+20%)</f>
        <v>1044</v>
      </c>
      <c r="I554" s="258">
        <f>931*(100%+20%)</f>
        <v>1117.2</v>
      </c>
      <c r="J554" s="258">
        <f aca="true" t="shared" si="7" ref="J554:K557">1092*(100%+20%)</f>
        <v>1310.3999999999999</v>
      </c>
      <c r="K554" s="259">
        <f t="shared" si="7"/>
        <v>1310.3999999999999</v>
      </c>
      <c r="L554" s="69"/>
      <c r="M554" s="44"/>
    </row>
    <row r="555" spans="1:13" ht="15" customHeight="1">
      <c r="A555" s="74" t="s">
        <v>1173</v>
      </c>
      <c r="B555" s="162" t="s">
        <v>166</v>
      </c>
      <c r="C555" s="176" t="s">
        <v>9</v>
      </c>
      <c r="D555" s="257">
        <f>744*(100%+20%)</f>
        <v>892.8</v>
      </c>
      <c r="E555" s="258">
        <f>806*(100%+20%)</f>
        <v>967.1999999999999</v>
      </c>
      <c r="F555" s="258">
        <f t="shared" si="6"/>
        <v>1160.3999999999999</v>
      </c>
      <c r="G555" s="259">
        <f t="shared" si="6"/>
        <v>1160.3999999999999</v>
      </c>
      <c r="H555" s="257">
        <f>870*(100%+20%)</f>
        <v>1044</v>
      </c>
      <c r="I555" s="258">
        <f>931*(100%+20%)</f>
        <v>1117.2</v>
      </c>
      <c r="J555" s="258">
        <f t="shared" si="7"/>
        <v>1310.3999999999999</v>
      </c>
      <c r="K555" s="259">
        <f t="shared" si="7"/>
        <v>1310.3999999999999</v>
      </c>
      <c r="L555" s="69"/>
      <c r="M555" s="44"/>
    </row>
    <row r="556" spans="1:13" ht="15" customHeight="1">
      <c r="A556" s="74" t="s">
        <v>1174</v>
      </c>
      <c r="B556" s="162" t="s">
        <v>167</v>
      </c>
      <c r="C556" s="176" t="s">
        <v>9</v>
      </c>
      <c r="D556" s="257">
        <f>744*(100%+20%)</f>
        <v>892.8</v>
      </c>
      <c r="E556" s="258">
        <f>806*(100%+20%)</f>
        <v>967.1999999999999</v>
      </c>
      <c r="F556" s="258">
        <f t="shared" si="6"/>
        <v>1160.3999999999999</v>
      </c>
      <c r="G556" s="259">
        <f t="shared" si="6"/>
        <v>1160.3999999999999</v>
      </c>
      <c r="H556" s="257">
        <f>870*(100%+20%)</f>
        <v>1044</v>
      </c>
      <c r="I556" s="258">
        <f>931*(100%+20%)</f>
        <v>1117.2</v>
      </c>
      <c r="J556" s="258">
        <f t="shared" si="7"/>
        <v>1310.3999999999999</v>
      </c>
      <c r="K556" s="259">
        <f t="shared" si="7"/>
        <v>1310.3999999999999</v>
      </c>
      <c r="L556" s="69"/>
      <c r="M556" s="44"/>
    </row>
    <row r="557" spans="1:13" ht="15" customHeight="1" thickBot="1">
      <c r="A557" s="74" t="s">
        <v>1175</v>
      </c>
      <c r="B557" s="163" t="s">
        <v>168</v>
      </c>
      <c r="C557" s="178" t="s">
        <v>9</v>
      </c>
      <c r="D557" s="260">
        <f>744*(100%+20%)</f>
        <v>892.8</v>
      </c>
      <c r="E557" s="261">
        <f>806*(100%+20%)</f>
        <v>967.1999999999999</v>
      </c>
      <c r="F557" s="261">
        <f t="shared" si="6"/>
        <v>1160.3999999999999</v>
      </c>
      <c r="G557" s="262">
        <f t="shared" si="6"/>
        <v>1160.3999999999999</v>
      </c>
      <c r="H557" s="260">
        <f>870*(100%+20%)</f>
        <v>1044</v>
      </c>
      <c r="I557" s="261">
        <f>931*(100%+20%)</f>
        <v>1117.2</v>
      </c>
      <c r="J557" s="261">
        <f t="shared" si="7"/>
        <v>1310.3999999999999</v>
      </c>
      <c r="K557" s="262">
        <f t="shared" si="7"/>
        <v>1310.3999999999999</v>
      </c>
      <c r="L557" s="69"/>
      <c r="M557" s="44"/>
    </row>
    <row r="558" spans="1:13" ht="21" customHeight="1" thickBot="1">
      <c r="A558" s="74" t="s">
        <v>1176</v>
      </c>
      <c r="B558" s="325" t="s">
        <v>128</v>
      </c>
      <c r="C558" s="326"/>
      <c r="D558" s="352"/>
      <c r="E558" s="352"/>
      <c r="F558" s="352"/>
      <c r="G558" s="352"/>
      <c r="H558" s="352"/>
      <c r="I558" s="352"/>
      <c r="J558" s="352"/>
      <c r="K558" s="365"/>
      <c r="L558" s="69"/>
      <c r="M558" s="44"/>
    </row>
    <row r="559" spans="1:13" ht="15" customHeight="1" thickBot="1">
      <c r="A559" s="21" t="s">
        <v>1177</v>
      </c>
      <c r="B559" s="314" t="s">
        <v>97</v>
      </c>
      <c r="C559" s="312" t="s">
        <v>1379</v>
      </c>
      <c r="D559" s="316" t="s">
        <v>845</v>
      </c>
      <c r="E559" s="317"/>
      <c r="F559" s="317"/>
      <c r="G559" s="318"/>
      <c r="H559" s="316" t="s">
        <v>846</v>
      </c>
      <c r="I559" s="317"/>
      <c r="J559" s="317"/>
      <c r="K559" s="318"/>
      <c r="L559" s="69"/>
      <c r="M559" s="44"/>
    </row>
    <row r="560" spans="1:13" ht="15" customHeight="1" thickBot="1">
      <c r="A560" s="21" t="s">
        <v>1178</v>
      </c>
      <c r="B560" s="315"/>
      <c r="C560" s="313"/>
      <c r="D560" s="106" t="s">
        <v>847</v>
      </c>
      <c r="E560" s="105" t="s">
        <v>4</v>
      </c>
      <c r="F560" s="103" t="s">
        <v>5</v>
      </c>
      <c r="G560" s="105" t="s">
        <v>1420</v>
      </c>
      <c r="H560" s="103" t="s">
        <v>847</v>
      </c>
      <c r="I560" s="105" t="s">
        <v>4</v>
      </c>
      <c r="J560" s="103" t="s">
        <v>5</v>
      </c>
      <c r="K560" s="105" t="s">
        <v>1420</v>
      </c>
      <c r="L560" s="69"/>
      <c r="M560" s="44"/>
    </row>
    <row r="561" spans="1:13" ht="15" customHeight="1">
      <c r="A561" s="74" t="s">
        <v>1179</v>
      </c>
      <c r="B561" s="161" t="s">
        <v>114</v>
      </c>
      <c r="C561" s="175" t="s">
        <v>30</v>
      </c>
      <c r="D561" s="253">
        <f>654*(100%+20%)</f>
        <v>784.8</v>
      </c>
      <c r="E561" s="254">
        <f>722*(100%+20%)</f>
        <v>866.4</v>
      </c>
      <c r="F561" s="255">
        <f>900*(100%+20%)</f>
        <v>1080</v>
      </c>
      <c r="G561" s="256">
        <f>900*(100%+20%)</f>
        <v>1080</v>
      </c>
      <c r="H561" s="253">
        <f>970*(100%+20%)</f>
        <v>1164</v>
      </c>
      <c r="I561" s="254">
        <f>1038*(100%+20%)</f>
        <v>1245.6</v>
      </c>
      <c r="J561" s="255">
        <f>1216*(100%+20%)</f>
        <v>1459.2</v>
      </c>
      <c r="K561" s="256">
        <f>1216*(100%+20%)</f>
        <v>1459.2</v>
      </c>
      <c r="L561" s="69"/>
      <c r="M561" s="44"/>
    </row>
    <row r="562" spans="1:13" ht="15" customHeight="1">
      <c r="A562" s="74" t="s">
        <v>1180</v>
      </c>
      <c r="B562" s="162" t="s">
        <v>115</v>
      </c>
      <c r="C562" s="176" t="s">
        <v>9</v>
      </c>
      <c r="D562" s="257">
        <f>3398*(100%+20%)</f>
        <v>4077.6</v>
      </c>
      <c r="E562" s="258">
        <f>3657*(100%+20%)</f>
        <v>4388.4</v>
      </c>
      <c r="F562" s="258">
        <f>4342*(100%+20%)</f>
        <v>5210.4</v>
      </c>
      <c r="G562" s="259">
        <f>4342*(100%+20%)</f>
        <v>5210.4</v>
      </c>
      <c r="H562" s="257">
        <f>3715*(100%+20%)</f>
        <v>4458</v>
      </c>
      <c r="I562" s="258">
        <f>3974*(100%+20%)</f>
        <v>4768.8</v>
      </c>
      <c r="J562" s="258">
        <f>4659*(100%+20%)</f>
        <v>5590.8</v>
      </c>
      <c r="K562" s="259">
        <f>4659*(100%+20%)</f>
        <v>5590.8</v>
      </c>
      <c r="L562" s="69"/>
      <c r="M562" s="44"/>
    </row>
    <row r="563" spans="1:13" ht="15" customHeight="1">
      <c r="A563" s="74"/>
      <c r="B563" s="162" t="s">
        <v>116</v>
      </c>
      <c r="C563" s="176" t="s">
        <v>9</v>
      </c>
      <c r="D563" s="257">
        <f>3398*(100%+20%)</f>
        <v>4077.6</v>
      </c>
      <c r="E563" s="258">
        <f>3657*(100%+20%)</f>
        <v>4388.4</v>
      </c>
      <c r="F563" s="258">
        <f>4342*(100%+20%)</f>
        <v>5210.4</v>
      </c>
      <c r="G563" s="259">
        <f>4342*(100%+20%)</f>
        <v>5210.4</v>
      </c>
      <c r="H563" s="257">
        <f>3715*(100%+20%)</f>
        <v>4458</v>
      </c>
      <c r="I563" s="258">
        <f>3974*(100%+20%)</f>
        <v>4768.8</v>
      </c>
      <c r="J563" s="258">
        <f>4659*(100%+20%)</f>
        <v>5590.8</v>
      </c>
      <c r="K563" s="259">
        <f>4659*(100%+20%)</f>
        <v>5590.8</v>
      </c>
      <c r="L563" s="69"/>
      <c r="M563" s="44"/>
    </row>
    <row r="564" spans="1:13" ht="15" customHeight="1">
      <c r="A564" s="74" t="s">
        <v>1181</v>
      </c>
      <c r="B564" s="162" t="s">
        <v>169</v>
      </c>
      <c r="C564" s="176" t="s">
        <v>9</v>
      </c>
      <c r="D564" s="257">
        <f>720*(100%+20%)</f>
        <v>864</v>
      </c>
      <c r="E564" s="258">
        <f>779*(100%+20%)</f>
        <v>934.8</v>
      </c>
      <c r="F564" s="258">
        <f>935*(100%+20%)</f>
        <v>1122</v>
      </c>
      <c r="G564" s="259">
        <f>935*(100%+20%)</f>
        <v>1122</v>
      </c>
      <c r="H564" s="257">
        <f>845*(100%+20%)</f>
        <v>1014</v>
      </c>
      <c r="I564" s="258">
        <f>905*(100%+20%)</f>
        <v>1086</v>
      </c>
      <c r="J564" s="258">
        <f>1061*(100%+20%)</f>
        <v>1273.2</v>
      </c>
      <c r="K564" s="259">
        <f>1061*(100%+20%)</f>
        <v>1273.2</v>
      </c>
      <c r="L564" s="69"/>
      <c r="M564" s="44"/>
    </row>
    <row r="565" spans="1:13" ht="15" customHeight="1">
      <c r="A565" s="74" t="s">
        <v>1182</v>
      </c>
      <c r="B565" s="162" t="s">
        <v>170</v>
      </c>
      <c r="C565" s="176" t="s">
        <v>9</v>
      </c>
      <c r="D565" s="257">
        <f>771*(100%+20%)</f>
        <v>925.1999999999999</v>
      </c>
      <c r="E565" s="258">
        <f>835*(100%+20%)</f>
        <v>1002</v>
      </c>
      <c r="F565" s="258">
        <f aca="true" t="shared" si="8" ref="F565:G568">1001*(100%+20%)</f>
        <v>1201.2</v>
      </c>
      <c r="G565" s="259">
        <f t="shared" si="8"/>
        <v>1201.2</v>
      </c>
      <c r="H565" s="257">
        <f>898*(100%+20%)</f>
        <v>1077.6</v>
      </c>
      <c r="I565" s="258">
        <f>962*(100%+20%)</f>
        <v>1154.3999999999999</v>
      </c>
      <c r="J565" s="258">
        <f aca="true" t="shared" si="9" ref="J565:K568">1128*(100%+20%)</f>
        <v>1353.6</v>
      </c>
      <c r="K565" s="259">
        <f t="shared" si="9"/>
        <v>1353.6</v>
      </c>
      <c r="L565" s="69"/>
      <c r="M565" s="44"/>
    </row>
    <row r="566" spans="1:13" ht="15" customHeight="1">
      <c r="A566" s="74" t="s">
        <v>1183</v>
      </c>
      <c r="B566" s="162" t="s">
        <v>171</v>
      </c>
      <c r="C566" s="176" t="s">
        <v>9</v>
      </c>
      <c r="D566" s="257">
        <f>771*(100%+20%)</f>
        <v>925.1999999999999</v>
      </c>
      <c r="E566" s="258">
        <f>835*(100%+20%)</f>
        <v>1002</v>
      </c>
      <c r="F566" s="258">
        <f t="shared" si="8"/>
        <v>1201.2</v>
      </c>
      <c r="G566" s="259">
        <f t="shared" si="8"/>
        <v>1201.2</v>
      </c>
      <c r="H566" s="257">
        <f>898*(100%+20%)</f>
        <v>1077.6</v>
      </c>
      <c r="I566" s="258">
        <f>962*(100%+20%)</f>
        <v>1154.3999999999999</v>
      </c>
      <c r="J566" s="258">
        <f t="shared" si="9"/>
        <v>1353.6</v>
      </c>
      <c r="K566" s="259">
        <f t="shared" si="9"/>
        <v>1353.6</v>
      </c>
      <c r="L566" s="69"/>
      <c r="M566" s="44"/>
    </row>
    <row r="567" spans="1:13" ht="15" customHeight="1">
      <c r="A567" s="74" t="s">
        <v>1184</v>
      </c>
      <c r="B567" s="162" t="s">
        <v>172</v>
      </c>
      <c r="C567" s="176" t="s">
        <v>9</v>
      </c>
      <c r="D567" s="257">
        <f>771*(100%+20%)</f>
        <v>925.1999999999999</v>
      </c>
      <c r="E567" s="258">
        <f>835*(100%+20%)</f>
        <v>1002</v>
      </c>
      <c r="F567" s="258">
        <f t="shared" si="8"/>
        <v>1201.2</v>
      </c>
      <c r="G567" s="259">
        <f t="shared" si="8"/>
        <v>1201.2</v>
      </c>
      <c r="H567" s="257">
        <f>898*(100%+20%)</f>
        <v>1077.6</v>
      </c>
      <c r="I567" s="258">
        <f>962*(100%+20%)</f>
        <v>1154.3999999999999</v>
      </c>
      <c r="J567" s="258">
        <f t="shared" si="9"/>
        <v>1353.6</v>
      </c>
      <c r="K567" s="259">
        <f t="shared" si="9"/>
        <v>1353.6</v>
      </c>
      <c r="L567" s="69"/>
      <c r="M567" s="44"/>
    </row>
    <row r="568" spans="1:13" ht="15" customHeight="1" thickBot="1">
      <c r="A568" s="74" t="s">
        <v>1185</v>
      </c>
      <c r="B568" s="163" t="s">
        <v>173</v>
      </c>
      <c r="C568" s="178" t="s">
        <v>9</v>
      </c>
      <c r="D568" s="260">
        <f>771*(100%+20%)</f>
        <v>925.1999999999999</v>
      </c>
      <c r="E568" s="261">
        <f>835*(100%+20%)</f>
        <v>1002</v>
      </c>
      <c r="F568" s="261">
        <f t="shared" si="8"/>
        <v>1201.2</v>
      </c>
      <c r="G568" s="262">
        <f t="shared" si="8"/>
        <v>1201.2</v>
      </c>
      <c r="H568" s="260">
        <f>898*(100%+20%)</f>
        <v>1077.6</v>
      </c>
      <c r="I568" s="261">
        <f>962*(100%+20%)</f>
        <v>1154.3999999999999</v>
      </c>
      <c r="J568" s="261">
        <f t="shared" si="9"/>
        <v>1353.6</v>
      </c>
      <c r="K568" s="262">
        <f t="shared" si="9"/>
        <v>1353.6</v>
      </c>
      <c r="L568" s="69"/>
      <c r="M568" s="44"/>
    </row>
    <row r="569" spans="1:13" ht="21" customHeight="1" thickBot="1">
      <c r="A569" s="74" t="s">
        <v>1186</v>
      </c>
      <c r="B569" s="325" t="s">
        <v>129</v>
      </c>
      <c r="C569" s="326"/>
      <c r="D569" s="352"/>
      <c r="E569" s="352"/>
      <c r="F569" s="352"/>
      <c r="G569" s="352"/>
      <c r="H569" s="352"/>
      <c r="I569" s="352"/>
      <c r="J569" s="352"/>
      <c r="K569" s="365"/>
      <c r="L569" s="69"/>
      <c r="M569" s="44"/>
    </row>
    <row r="570" spans="1:13" ht="15" customHeight="1" thickBot="1">
      <c r="A570" s="21"/>
      <c r="B570" s="314" t="s">
        <v>97</v>
      </c>
      <c r="C570" s="312" t="s">
        <v>1379</v>
      </c>
      <c r="D570" s="316" t="s">
        <v>845</v>
      </c>
      <c r="E570" s="317"/>
      <c r="F570" s="317"/>
      <c r="G570" s="318"/>
      <c r="H570" s="316" t="s">
        <v>846</v>
      </c>
      <c r="I570" s="317"/>
      <c r="J570" s="317"/>
      <c r="K570" s="318"/>
      <c r="L570" s="69"/>
      <c r="M570" s="44"/>
    </row>
    <row r="571" spans="1:13" ht="15" customHeight="1" thickBot="1">
      <c r="A571" s="21" t="s">
        <v>1187</v>
      </c>
      <c r="B571" s="315"/>
      <c r="C571" s="313"/>
      <c r="D571" s="106" t="s">
        <v>847</v>
      </c>
      <c r="E571" s="105" t="s">
        <v>4</v>
      </c>
      <c r="F571" s="103" t="s">
        <v>5</v>
      </c>
      <c r="G571" s="105" t="s">
        <v>1420</v>
      </c>
      <c r="H571" s="103" t="s">
        <v>847</v>
      </c>
      <c r="I571" s="105" t="s">
        <v>4</v>
      </c>
      <c r="J571" s="103" t="s">
        <v>5</v>
      </c>
      <c r="K571" s="105" t="s">
        <v>1420</v>
      </c>
      <c r="L571" s="69"/>
      <c r="M571" s="44"/>
    </row>
    <row r="572" spans="1:13" ht="15" customHeight="1">
      <c r="A572" s="74"/>
      <c r="B572" s="161" t="s">
        <v>117</v>
      </c>
      <c r="C572" s="175" t="s">
        <v>30</v>
      </c>
      <c r="D572" s="253">
        <f>654*(100%+20%)</f>
        <v>784.8</v>
      </c>
      <c r="E572" s="254">
        <f>722*(100%+20%)</f>
        <v>866.4</v>
      </c>
      <c r="F572" s="255">
        <f>900*(100%+20%)</f>
        <v>1080</v>
      </c>
      <c r="G572" s="256">
        <f>900*(100%+20%)</f>
        <v>1080</v>
      </c>
      <c r="H572" s="253">
        <f>970*(100%+20%)</f>
        <v>1164</v>
      </c>
      <c r="I572" s="254">
        <f>1038*(100%+20%)</f>
        <v>1245.6</v>
      </c>
      <c r="J572" s="255">
        <f>1216*(100%+20%)</f>
        <v>1459.2</v>
      </c>
      <c r="K572" s="256">
        <f>1216*(100%+20%)</f>
        <v>1459.2</v>
      </c>
      <c r="L572" s="69"/>
      <c r="M572" s="44"/>
    </row>
    <row r="573" spans="1:13" ht="15" customHeight="1">
      <c r="A573" s="74" t="s">
        <v>1188</v>
      </c>
      <c r="B573" s="162" t="s">
        <v>118</v>
      </c>
      <c r="C573" s="176" t="s">
        <v>9</v>
      </c>
      <c r="D573" s="257">
        <f>3261*(100%+20%)</f>
        <v>3913.2</v>
      </c>
      <c r="E573" s="258">
        <f>3512*(100%+20%)</f>
        <v>4214.4</v>
      </c>
      <c r="F573" s="258">
        <f>4171*(100%+20%)</f>
        <v>5005.2</v>
      </c>
      <c r="G573" s="259">
        <f>4171*(100%+20%)</f>
        <v>5005.2</v>
      </c>
      <c r="H573" s="257">
        <f>3577*(100%+20%)</f>
        <v>4292.4</v>
      </c>
      <c r="I573" s="258">
        <f>3828*(100%+20%)</f>
        <v>4593.599999999999</v>
      </c>
      <c r="J573" s="258">
        <f>4487*(100%+20%)</f>
        <v>5384.4</v>
      </c>
      <c r="K573" s="259">
        <f>4487*(100%+20%)</f>
        <v>5384.4</v>
      </c>
      <c r="L573" s="69"/>
      <c r="M573" s="44"/>
    </row>
    <row r="574" spans="1:13" ht="15" customHeight="1">
      <c r="A574" s="74" t="s">
        <v>1189</v>
      </c>
      <c r="B574" s="162" t="s">
        <v>119</v>
      </c>
      <c r="C574" s="176" t="s">
        <v>9</v>
      </c>
      <c r="D574" s="257">
        <f>3261*(100%+20%)</f>
        <v>3913.2</v>
      </c>
      <c r="E574" s="258">
        <f>3512*(100%+20%)</f>
        <v>4214.4</v>
      </c>
      <c r="F574" s="258">
        <f>4171*(100%+20%)</f>
        <v>5005.2</v>
      </c>
      <c r="G574" s="259">
        <f>4171*(100%+20%)</f>
        <v>5005.2</v>
      </c>
      <c r="H574" s="257">
        <f>3577*(100%+20%)</f>
        <v>4292.4</v>
      </c>
      <c r="I574" s="258">
        <f>3828*(100%+20%)</f>
        <v>4593.599999999999</v>
      </c>
      <c r="J574" s="258">
        <f>4487*(100%+20%)</f>
        <v>5384.4</v>
      </c>
      <c r="K574" s="259">
        <f>4487*(100%+20%)</f>
        <v>5384.4</v>
      </c>
      <c r="L574" s="69"/>
      <c r="M574" s="44"/>
    </row>
    <row r="575" spans="1:13" ht="15" customHeight="1">
      <c r="A575" s="74" t="s">
        <v>1190</v>
      </c>
      <c r="B575" s="162" t="s">
        <v>174</v>
      </c>
      <c r="C575" s="176" t="s">
        <v>9</v>
      </c>
      <c r="D575" s="257">
        <f>690*(100%+20%)</f>
        <v>828</v>
      </c>
      <c r="E575" s="258">
        <f>749*(100%+20%)</f>
        <v>898.8</v>
      </c>
      <c r="F575" s="258">
        <f>899*(100%+20%)</f>
        <v>1078.8</v>
      </c>
      <c r="G575" s="259">
        <f>899*(100%+20%)</f>
        <v>1078.8</v>
      </c>
      <c r="H575" s="257">
        <f>817*(100%+20%)</f>
        <v>980.4</v>
      </c>
      <c r="I575" s="258">
        <f>875*(100%+20%)</f>
        <v>1050</v>
      </c>
      <c r="J575" s="258">
        <f>1026*(100%+20%)</f>
        <v>1231.2</v>
      </c>
      <c r="K575" s="259">
        <f>1026*(100%+20%)</f>
        <v>1231.2</v>
      </c>
      <c r="L575" s="69"/>
      <c r="M575" s="44"/>
    </row>
    <row r="576" spans="1:13" ht="15" customHeight="1">
      <c r="A576" s="74" t="s">
        <v>1191</v>
      </c>
      <c r="B576" s="162" t="s">
        <v>175</v>
      </c>
      <c r="C576" s="176" t="s">
        <v>9</v>
      </c>
      <c r="D576" s="257">
        <f>744*(100%+20%)</f>
        <v>892.8</v>
      </c>
      <c r="E576" s="258">
        <f>806*(100%+20%)</f>
        <v>967.1999999999999</v>
      </c>
      <c r="F576" s="258">
        <f aca="true" t="shared" si="10" ref="F576:G579">967*(100%+20%)</f>
        <v>1160.3999999999999</v>
      </c>
      <c r="G576" s="259">
        <f t="shared" si="10"/>
        <v>1160.3999999999999</v>
      </c>
      <c r="H576" s="257">
        <f>870*(100%+20%)</f>
        <v>1044</v>
      </c>
      <c r="I576" s="258">
        <f>931*(100%+20%)</f>
        <v>1117.2</v>
      </c>
      <c r="J576" s="258">
        <f aca="true" t="shared" si="11" ref="J576:K579">1092*(100%+20%)</f>
        <v>1310.3999999999999</v>
      </c>
      <c r="K576" s="259">
        <f t="shared" si="11"/>
        <v>1310.3999999999999</v>
      </c>
      <c r="L576" s="69"/>
      <c r="M576" s="44"/>
    </row>
    <row r="577" spans="1:13" ht="15" customHeight="1">
      <c r="A577" s="74" t="s">
        <v>1192</v>
      </c>
      <c r="B577" s="162" t="s">
        <v>176</v>
      </c>
      <c r="C577" s="176" t="s">
        <v>9</v>
      </c>
      <c r="D577" s="257">
        <f>744*(100%+20%)</f>
        <v>892.8</v>
      </c>
      <c r="E577" s="258">
        <f>806*(100%+20%)</f>
        <v>967.1999999999999</v>
      </c>
      <c r="F577" s="258">
        <f t="shared" si="10"/>
        <v>1160.3999999999999</v>
      </c>
      <c r="G577" s="259">
        <f t="shared" si="10"/>
        <v>1160.3999999999999</v>
      </c>
      <c r="H577" s="257">
        <f>870*(100%+20%)</f>
        <v>1044</v>
      </c>
      <c r="I577" s="258">
        <f>931*(100%+20%)</f>
        <v>1117.2</v>
      </c>
      <c r="J577" s="258">
        <f t="shared" si="11"/>
        <v>1310.3999999999999</v>
      </c>
      <c r="K577" s="259">
        <f t="shared" si="11"/>
        <v>1310.3999999999999</v>
      </c>
      <c r="L577" s="69"/>
      <c r="M577" s="44"/>
    </row>
    <row r="578" spans="1:13" ht="15" customHeight="1">
      <c r="A578" s="74" t="s">
        <v>1193</v>
      </c>
      <c r="B578" s="162" t="s">
        <v>177</v>
      </c>
      <c r="C578" s="176" t="s">
        <v>9</v>
      </c>
      <c r="D578" s="257">
        <f>744*(100%+20%)</f>
        <v>892.8</v>
      </c>
      <c r="E578" s="258">
        <f>806*(100%+20%)</f>
        <v>967.1999999999999</v>
      </c>
      <c r="F578" s="258">
        <f t="shared" si="10"/>
        <v>1160.3999999999999</v>
      </c>
      <c r="G578" s="259">
        <f t="shared" si="10"/>
        <v>1160.3999999999999</v>
      </c>
      <c r="H578" s="257">
        <f>870*(100%+20%)</f>
        <v>1044</v>
      </c>
      <c r="I578" s="258">
        <f>931*(100%+20%)</f>
        <v>1117.2</v>
      </c>
      <c r="J578" s="258">
        <f t="shared" si="11"/>
        <v>1310.3999999999999</v>
      </c>
      <c r="K578" s="259">
        <f t="shared" si="11"/>
        <v>1310.3999999999999</v>
      </c>
      <c r="L578" s="69"/>
      <c r="M578" s="44"/>
    </row>
    <row r="579" spans="1:13" ht="15" customHeight="1" thickBot="1">
      <c r="A579" s="74"/>
      <c r="B579" s="163" t="s">
        <v>178</v>
      </c>
      <c r="C579" s="178" t="s">
        <v>9</v>
      </c>
      <c r="D579" s="260">
        <f>744*(100%+20%)</f>
        <v>892.8</v>
      </c>
      <c r="E579" s="261">
        <f>806*(100%+20%)</f>
        <v>967.1999999999999</v>
      </c>
      <c r="F579" s="261">
        <f t="shared" si="10"/>
        <v>1160.3999999999999</v>
      </c>
      <c r="G579" s="262">
        <f t="shared" si="10"/>
        <v>1160.3999999999999</v>
      </c>
      <c r="H579" s="260">
        <f>870*(100%+20%)</f>
        <v>1044</v>
      </c>
      <c r="I579" s="261">
        <f>931*(100%+20%)</f>
        <v>1117.2</v>
      </c>
      <c r="J579" s="261">
        <f t="shared" si="11"/>
        <v>1310.3999999999999</v>
      </c>
      <c r="K579" s="262">
        <f t="shared" si="11"/>
        <v>1310.3999999999999</v>
      </c>
      <c r="L579" s="69"/>
      <c r="M579" s="44"/>
    </row>
    <row r="580" spans="1:13" ht="21" customHeight="1" thickBot="1">
      <c r="A580" s="74" t="s">
        <v>1194</v>
      </c>
      <c r="B580" s="325" t="s">
        <v>130</v>
      </c>
      <c r="C580" s="326"/>
      <c r="D580" s="352"/>
      <c r="E580" s="352"/>
      <c r="F580" s="352"/>
      <c r="G580" s="352"/>
      <c r="H580" s="352"/>
      <c r="I580" s="352"/>
      <c r="J580" s="352"/>
      <c r="K580" s="365"/>
      <c r="L580" s="69"/>
      <c r="M580" s="44"/>
    </row>
    <row r="581" spans="1:13" ht="15" customHeight="1" thickBot="1">
      <c r="A581" s="21"/>
      <c r="B581" s="314" t="s">
        <v>97</v>
      </c>
      <c r="C581" s="312" t="s">
        <v>1379</v>
      </c>
      <c r="D581" s="316" t="s">
        <v>845</v>
      </c>
      <c r="E581" s="317"/>
      <c r="F581" s="317"/>
      <c r="G581" s="318"/>
      <c r="H581" s="316" t="s">
        <v>846</v>
      </c>
      <c r="I581" s="317"/>
      <c r="J581" s="317"/>
      <c r="K581" s="318"/>
      <c r="L581" s="69"/>
      <c r="M581" s="44"/>
    </row>
    <row r="582" spans="1:13" ht="15" customHeight="1" thickBot="1">
      <c r="A582" s="21" t="s">
        <v>1195</v>
      </c>
      <c r="B582" s="315"/>
      <c r="C582" s="313"/>
      <c r="D582" s="106" t="s">
        <v>847</v>
      </c>
      <c r="E582" s="105" t="s">
        <v>4</v>
      </c>
      <c r="F582" s="103" t="s">
        <v>5</v>
      </c>
      <c r="G582" s="105" t="s">
        <v>1420</v>
      </c>
      <c r="H582" s="103" t="s">
        <v>847</v>
      </c>
      <c r="I582" s="105" t="s">
        <v>4</v>
      </c>
      <c r="J582" s="103" t="s">
        <v>5</v>
      </c>
      <c r="K582" s="105" t="s">
        <v>1420</v>
      </c>
      <c r="L582" s="69"/>
      <c r="M582" s="44"/>
    </row>
    <row r="583" spans="1:13" ht="15" customHeight="1">
      <c r="A583" s="74" t="s">
        <v>1196</v>
      </c>
      <c r="B583" s="161" t="s">
        <v>120</v>
      </c>
      <c r="C583" s="175" t="s">
        <v>30</v>
      </c>
      <c r="D583" s="253">
        <f>654*(100%+20%)</f>
        <v>784.8</v>
      </c>
      <c r="E583" s="254">
        <f>722*(100%+20%)</f>
        <v>866.4</v>
      </c>
      <c r="F583" s="255">
        <f>900*(100%+20%)</f>
        <v>1080</v>
      </c>
      <c r="G583" s="256">
        <f>900*(100%+20%)</f>
        <v>1080</v>
      </c>
      <c r="H583" s="253">
        <f>970*(100%+20%)</f>
        <v>1164</v>
      </c>
      <c r="I583" s="254">
        <f>1038*(100%+20%)</f>
        <v>1245.6</v>
      </c>
      <c r="J583" s="255">
        <f>1216*(100%+20%)</f>
        <v>1459.2</v>
      </c>
      <c r="K583" s="256">
        <f>1216*(100%+20%)</f>
        <v>1459.2</v>
      </c>
      <c r="L583" s="69"/>
      <c r="M583" s="44"/>
    </row>
    <row r="584" spans="1:13" ht="15" customHeight="1">
      <c r="A584" s="74" t="s">
        <v>1197</v>
      </c>
      <c r="B584" s="162" t="s">
        <v>121</v>
      </c>
      <c r="C584" s="176" t="s">
        <v>9</v>
      </c>
      <c r="D584" s="257">
        <f>3261*(100%+20%)</f>
        <v>3913.2</v>
      </c>
      <c r="E584" s="258">
        <f>3512*(100%+20%)</f>
        <v>4214.4</v>
      </c>
      <c r="F584" s="258">
        <f>4171*(100%+20%)</f>
        <v>5005.2</v>
      </c>
      <c r="G584" s="259">
        <f>4171*(100%+20%)</f>
        <v>5005.2</v>
      </c>
      <c r="H584" s="257">
        <f>3577*(100%+20%)</f>
        <v>4292.4</v>
      </c>
      <c r="I584" s="258">
        <f>3828*(100%+20%)</f>
        <v>4593.599999999999</v>
      </c>
      <c r="J584" s="258">
        <f>4487*(100%+20%)</f>
        <v>5384.4</v>
      </c>
      <c r="K584" s="259">
        <f>4487*(100%+20%)</f>
        <v>5384.4</v>
      </c>
      <c r="L584" s="69"/>
      <c r="M584" s="44"/>
    </row>
    <row r="585" spans="1:13" ht="15" customHeight="1">
      <c r="A585" s="74" t="s">
        <v>1198</v>
      </c>
      <c r="B585" s="162" t="s">
        <v>122</v>
      </c>
      <c r="C585" s="176" t="s">
        <v>9</v>
      </c>
      <c r="D585" s="257">
        <f>3261*(100%+20%)</f>
        <v>3913.2</v>
      </c>
      <c r="E585" s="258">
        <f>3512*(100%+20%)</f>
        <v>4214.4</v>
      </c>
      <c r="F585" s="258">
        <f>4171*(100%+20%)</f>
        <v>5005.2</v>
      </c>
      <c r="G585" s="259">
        <f>4171*(100%+20%)</f>
        <v>5005.2</v>
      </c>
      <c r="H585" s="257">
        <f>3577*(100%+20%)</f>
        <v>4292.4</v>
      </c>
      <c r="I585" s="258">
        <f>3828*(100%+20%)</f>
        <v>4593.599999999999</v>
      </c>
      <c r="J585" s="258">
        <f>4487*(100%+20%)</f>
        <v>5384.4</v>
      </c>
      <c r="K585" s="259">
        <f>4487*(100%+20%)</f>
        <v>5384.4</v>
      </c>
      <c r="L585" s="69"/>
      <c r="M585" s="44"/>
    </row>
    <row r="586" spans="1:13" ht="15" customHeight="1">
      <c r="A586" s="74" t="s">
        <v>1199</v>
      </c>
      <c r="B586" s="162" t="s">
        <v>179</v>
      </c>
      <c r="C586" s="176" t="s">
        <v>9</v>
      </c>
      <c r="D586" s="257">
        <f>690*(100%+20%)</f>
        <v>828</v>
      </c>
      <c r="E586" s="258">
        <f>749*(100%+20%)</f>
        <v>898.8</v>
      </c>
      <c r="F586" s="258">
        <f>899*(100%+20%)</f>
        <v>1078.8</v>
      </c>
      <c r="G586" s="259">
        <f>899*(100%+20%)</f>
        <v>1078.8</v>
      </c>
      <c r="H586" s="257">
        <f>817*(100%+20%)</f>
        <v>980.4</v>
      </c>
      <c r="I586" s="258">
        <f>875*(100%+20%)</f>
        <v>1050</v>
      </c>
      <c r="J586" s="258">
        <f>1026*(100%+20%)</f>
        <v>1231.2</v>
      </c>
      <c r="K586" s="259">
        <f>1026*(100%+20%)</f>
        <v>1231.2</v>
      </c>
      <c r="L586" s="69"/>
      <c r="M586" s="44"/>
    </row>
    <row r="587" spans="1:13" ht="15" customHeight="1">
      <c r="A587" s="74" t="s">
        <v>1200</v>
      </c>
      <c r="B587" s="162" t="s">
        <v>180</v>
      </c>
      <c r="C587" s="176" t="s">
        <v>9</v>
      </c>
      <c r="D587" s="257">
        <f>744*(100%+20%)</f>
        <v>892.8</v>
      </c>
      <c r="E587" s="258">
        <f>806*(100%+20%)</f>
        <v>967.1999999999999</v>
      </c>
      <c r="F587" s="258">
        <f aca="true" t="shared" si="12" ref="F587:G590">967*(100%+20%)</f>
        <v>1160.3999999999999</v>
      </c>
      <c r="G587" s="259">
        <f t="shared" si="12"/>
        <v>1160.3999999999999</v>
      </c>
      <c r="H587" s="257">
        <f>870*(100%+20%)</f>
        <v>1044</v>
      </c>
      <c r="I587" s="258">
        <f>931*(100%+20%)</f>
        <v>1117.2</v>
      </c>
      <c r="J587" s="258">
        <f aca="true" t="shared" si="13" ref="J587:K590">1092*(100%+20%)</f>
        <v>1310.3999999999999</v>
      </c>
      <c r="K587" s="259">
        <f t="shared" si="13"/>
        <v>1310.3999999999999</v>
      </c>
      <c r="L587" s="69"/>
      <c r="M587" s="44"/>
    </row>
    <row r="588" spans="1:13" ht="15" customHeight="1">
      <c r="A588" s="74"/>
      <c r="B588" s="162" t="s">
        <v>181</v>
      </c>
      <c r="C588" s="176" t="s">
        <v>9</v>
      </c>
      <c r="D588" s="257">
        <f>744*(100%+20%)</f>
        <v>892.8</v>
      </c>
      <c r="E588" s="258">
        <f>806*(100%+20%)</f>
        <v>967.1999999999999</v>
      </c>
      <c r="F588" s="258">
        <f t="shared" si="12"/>
        <v>1160.3999999999999</v>
      </c>
      <c r="G588" s="259">
        <f t="shared" si="12"/>
        <v>1160.3999999999999</v>
      </c>
      <c r="H588" s="257">
        <f>870*(100%+20%)</f>
        <v>1044</v>
      </c>
      <c r="I588" s="258">
        <f>931*(100%+20%)</f>
        <v>1117.2</v>
      </c>
      <c r="J588" s="258">
        <f t="shared" si="13"/>
        <v>1310.3999999999999</v>
      </c>
      <c r="K588" s="259">
        <f t="shared" si="13"/>
        <v>1310.3999999999999</v>
      </c>
      <c r="L588" s="69"/>
      <c r="M588" s="44"/>
    </row>
    <row r="589" spans="1:13" ht="15" customHeight="1">
      <c r="A589" s="74" t="s">
        <v>1201</v>
      </c>
      <c r="B589" s="162" t="s">
        <v>182</v>
      </c>
      <c r="C589" s="176" t="s">
        <v>9</v>
      </c>
      <c r="D589" s="257">
        <f>744*(100%+20%)</f>
        <v>892.8</v>
      </c>
      <c r="E589" s="258">
        <f>806*(100%+20%)</f>
        <v>967.1999999999999</v>
      </c>
      <c r="F589" s="258">
        <f t="shared" si="12"/>
        <v>1160.3999999999999</v>
      </c>
      <c r="G589" s="259">
        <f t="shared" si="12"/>
        <v>1160.3999999999999</v>
      </c>
      <c r="H589" s="257">
        <f>870*(100%+20%)</f>
        <v>1044</v>
      </c>
      <c r="I589" s="258">
        <f>931*(100%+20%)</f>
        <v>1117.2</v>
      </c>
      <c r="J589" s="258">
        <f t="shared" si="13"/>
        <v>1310.3999999999999</v>
      </c>
      <c r="K589" s="259">
        <f t="shared" si="13"/>
        <v>1310.3999999999999</v>
      </c>
      <c r="L589" s="69"/>
      <c r="M589" s="44"/>
    </row>
    <row r="590" spans="1:13" ht="15" customHeight="1" thickBot="1">
      <c r="A590" s="74"/>
      <c r="B590" s="163" t="s">
        <v>183</v>
      </c>
      <c r="C590" s="178" t="s">
        <v>9</v>
      </c>
      <c r="D590" s="260">
        <f>744*(100%+20%)</f>
        <v>892.8</v>
      </c>
      <c r="E590" s="261">
        <f>806*(100%+20%)</f>
        <v>967.1999999999999</v>
      </c>
      <c r="F590" s="261">
        <f t="shared" si="12"/>
        <v>1160.3999999999999</v>
      </c>
      <c r="G590" s="262">
        <f t="shared" si="12"/>
        <v>1160.3999999999999</v>
      </c>
      <c r="H590" s="260">
        <f>870*(100%+20%)</f>
        <v>1044</v>
      </c>
      <c r="I590" s="261">
        <f>931*(100%+20%)</f>
        <v>1117.2</v>
      </c>
      <c r="J590" s="261">
        <f t="shared" si="13"/>
        <v>1310.3999999999999</v>
      </c>
      <c r="K590" s="262">
        <f t="shared" si="13"/>
        <v>1310.3999999999999</v>
      </c>
      <c r="L590" s="69"/>
      <c r="M590" s="44"/>
    </row>
    <row r="591" spans="1:13" ht="21" customHeight="1" thickBot="1">
      <c r="A591" s="21" t="s">
        <v>1202</v>
      </c>
      <c r="B591" s="350" t="s">
        <v>19</v>
      </c>
      <c r="C591" s="351"/>
      <c r="D591" s="352"/>
      <c r="E591" s="352"/>
      <c r="F591" s="352"/>
      <c r="G591" s="352"/>
      <c r="H591" s="352"/>
      <c r="I591" s="352"/>
      <c r="J591" s="352"/>
      <c r="K591" s="352"/>
      <c r="L591" s="69"/>
      <c r="M591" s="44"/>
    </row>
    <row r="592" spans="1:13" ht="15" customHeight="1" thickBot="1">
      <c r="A592" s="21" t="s">
        <v>1203</v>
      </c>
      <c r="B592" s="314" t="s">
        <v>97</v>
      </c>
      <c r="C592" s="312" t="s">
        <v>1379</v>
      </c>
      <c r="D592" s="316" t="s">
        <v>845</v>
      </c>
      <c r="E592" s="317"/>
      <c r="F592" s="317"/>
      <c r="G592" s="318"/>
      <c r="H592" s="316" t="s">
        <v>846</v>
      </c>
      <c r="I592" s="317"/>
      <c r="J592" s="317"/>
      <c r="K592" s="318"/>
      <c r="L592" s="69"/>
      <c r="M592" s="44"/>
    </row>
    <row r="593" spans="1:13" ht="15" customHeight="1" thickBot="1">
      <c r="A593" s="21" t="s">
        <v>1204</v>
      </c>
      <c r="B593" s="315"/>
      <c r="C593" s="313"/>
      <c r="D593" s="106" t="s">
        <v>847</v>
      </c>
      <c r="E593" s="105" t="s">
        <v>4</v>
      </c>
      <c r="F593" s="103" t="s">
        <v>5</v>
      </c>
      <c r="G593" s="105" t="s">
        <v>1420</v>
      </c>
      <c r="H593" s="103" t="s">
        <v>847</v>
      </c>
      <c r="I593" s="105" t="s">
        <v>4</v>
      </c>
      <c r="J593" s="103" t="s">
        <v>5</v>
      </c>
      <c r="K593" s="105" t="s">
        <v>1420</v>
      </c>
      <c r="L593" s="69"/>
      <c r="M593" s="44"/>
    </row>
    <row r="594" spans="1:13" ht="15" customHeight="1">
      <c r="A594" s="74" t="s">
        <v>1205</v>
      </c>
      <c r="B594" s="161" t="s">
        <v>1406</v>
      </c>
      <c r="C594" s="175" t="s">
        <v>30</v>
      </c>
      <c r="D594" s="253">
        <f>654*(100%+20%)</f>
        <v>784.8</v>
      </c>
      <c r="E594" s="254">
        <f>722*(100%+20%)</f>
        <v>866.4</v>
      </c>
      <c r="F594" s="255">
        <f>900*(100%+20%)</f>
        <v>1080</v>
      </c>
      <c r="G594" s="256">
        <f>900*(100%+20%)</f>
        <v>1080</v>
      </c>
      <c r="H594" s="253">
        <f>970*(100%+20%)</f>
        <v>1164</v>
      </c>
      <c r="I594" s="254">
        <f>1038*(100%+20%)</f>
        <v>1245.6</v>
      </c>
      <c r="J594" s="255">
        <f>1216*(100%+20%)</f>
        <v>1459.2</v>
      </c>
      <c r="K594" s="256">
        <f>1216*(100%+20%)</f>
        <v>1459.2</v>
      </c>
      <c r="L594" s="69"/>
      <c r="M594" s="44"/>
    </row>
    <row r="595" spans="1:13" ht="15" customHeight="1">
      <c r="A595" s="74" t="s">
        <v>1206</v>
      </c>
      <c r="B595" s="162" t="s">
        <v>1407</v>
      </c>
      <c r="C595" s="176" t="s">
        <v>9</v>
      </c>
      <c r="D595" s="257">
        <f>3261*(100%+20%)</f>
        <v>3913.2</v>
      </c>
      <c r="E595" s="258">
        <f>3512*(100%+20%)</f>
        <v>4214.4</v>
      </c>
      <c r="F595" s="258">
        <f>4171*(100%+20%)</f>
        <v>5005.2</v>
      </c>
      <c r="G595" s="259">
        <f>4171*(100%+20%)</f>
        <v>5005.2</v>
      </c>
      <c r="H595" s="257">
        <f>3577*(100%+20%)</f>
        <v>4292.4</v>
      </c>
      <c r="I595" s="258">
        <f>3828*(100%+20%)</f>
        <v>4593.599999999999</v>
      </c>
      <c r="J595" s="258">
        <f>4487*(100%+20%)</f>
        <v>5384.4</v>
      </c>
      <c r="K595" s="259">
        <f>4487*(100%+20%)</f>
        <v>5384.4</v>
      </c>
      <c r="L595" s="69"/>
      <c r="M595" s="44"/>
    </row>
    <row r="596" spans="1:13" ht="15" customHeight="1">
      <c r="A596" s="74" t="s">
        <v>1207</v>
      </c>
      <c r="B596" s="162" t="s">
        <v>1408</v>
      </c>
      <c r="C596" s="176" t="s">
        <v>9</v>
      </c>
      <c r="D596" s="257">
        <f>3261*(100%+20%)</f>
        <v>3913.2</v>
      </c>
      <c r="E596" s="258">
        <f>3512*(100%+20%)</f>
        <v>4214.4</v>
      </c>
      <c r="F596" s="258">
        <f>4171*(100%+20%)</f>
        <v>5005.2</v>
      </c>
      <c r="G596" s="259">
        <f>4171*(100%+20%)</f>
        <v>5005.2</v>
      </c>
      <c r="H596" s="257">
        <f>3577*(100%+20%)</f>
        <v>4292.4</v>
      </c>
      <c r="I596" s="258">
        <f>3828*(100%+20%)</f>
        <v>4593.599999999999</v>
      </c>
      <c r="J596" s="258">
        <f>4487*(100%+20%)</f>
        <v>5384.4</v>
      </c>
      <c r="K596" s="259">
        <f>4487*(100%+20%)</f>
        <v>5384.4</v>
      </c>
      <c r="L596" s="69"/>
      <c r="M596" s="44"/>
    </row>
    <row r="597" spans="1:13" ht="15" customHeight="1">
      <c r="A597" s="74" t="s">
        <v>1208</v>
      </c>
      <c r="B597" s="162" t="s">
        <v>1409</v>
      </c>
      <c r="C597" s="176" t="s">
        <v>9</v>
      </c>
      <c r="D597" s="257">
        <f>690*(100%+20%)</f>
        <v>828</v>
      </c>
      <c r="E597" s="258">
        <f>749*(100%+20%)</f>
        <v>898.8</v>
      </c>
      <c r="F597" s="258">
        <f>899*(100%+20%)</f>
        <v>1078.8</v>
      </c>
      <c r="G597" s="259">
        <f>899*(100%+20%)</f>
        <v>1078.8</v>
      </c>
      <c r="H597" s="257">
        <f>817*(100%+20%)</f>
        <v>980.4</v>
      </c>
      <c r="I597" s="258">
        <f>875*(100%+20%)</f>
        <v>1050</v>
      </c>
      <c r="J597" s="258">
        <f>1026*(100%+20%)</f>
        <v>1231.2</v>
      </c>
      <c r="K597" s="259">
        <f>1026*(100%+20%)</f>
        <v>1231.2</v>
      </c>
      <c r="L597" s="69"/>
      <c r="M597" s="44"/>
    </row>
    <row r="598" spans="1:13" ht="15" customHeight="1">
      <c r="A598" s="74"/>
      <c r="B598" s="162" t="s">
        <v>1410</v>
      </c>
      <c r="C598" s="176" t="s">
        <v>9</v>
      </c>
      <c r="D598" s="257">
        <f>744*(100%+20%)</f>
        <v>892.8</v>
      </c>
      <c r="E598" s="258">
        <f>806*(100%+20%)</f>
        <v>967.1999999999999</v>
      </c>
      <c r="F598" s="258">
        <f aca="true" t="shared" si="14" ref="F598:G601">967*(100%+20%)</f>
        <v>1160.3999999999999</v>
      </c>
      <c r="G598" s="259">
        <f t="shared" si="14"/>
        <v>1160.3999999999999</v>
      </c>
      <c r="H598" s="257">
        <f>870*(100%+20%)</f>
        <v>1044</v>
      </c>
      <c r="I598" s="258">
        <f>931*(100%+20%)</f>
        <v>1117.2</v>
      </c>
      <c r="J598" s="258">
        <f aca="true" t="shared" si="15" ref="J598:K601">1092*(100%+20%)</f>
        <v>1310.3999999999999</v>
      </c>
      <c r="K598" s="259">
        <f t="shared" si="15"/>
        <v>1310.3999999999999</v>
      </c>
      <c r="L598" s="69"/>
      <c r="M598" s="44"/>
    </row>
    <row r="599" spans="1:13" ht="15" customHeight="1">
      <c r="A599" s="74" t="s">
        <v>1209</v>
      </c>
      <c r="B599" s="162" t="s">
        <v>1411</v>
      </c>
      <c r="C599" s="176" t="s">
        <v>9</v>
      </c>
      <c r="D599" s="257">
        <f>744*(100%+20%)</f>
        <v>892.8</v>
      </c>
      <c r="E599" s="258">
        <f>806*(100%+20%)</f>
        <v>967.1999999999999</v>
      </c>
      <c r="F599" s="258">
        <f t="shared" si="14"/>
        <v>1160.3999999999999</v>
      </c>
      <c r="G599" s="259">
        <f t="shared" si="14"/>
        <v>1160.3999999999999</v>
      </c>
      <c r="H599" s="257">
        <f>870*(100%+20%)</f>
        <v>1044</v>
      </c>
      <c r="I599" s="258">
        <f>931*(100%+20%)</f>
        <v>1117.2</v>
      </c>
      <c r="J599" s="258">
        <f t="shared" si="15"/>
        <v>1310.3999999999999</v>
      </c>
      <c r="K599" s="259">
        <f t="shared" si="15"/>
        <v>1310.3999999999999</v>
      </c>
      <c r="L599" s="69"/>
      <c r="M599" s="44"/>
    </row>
    <row r="600" spans="1:13" ht="15" customHeight="1">
      <c r="A600" s="74" t="s">
        <v>1210</v>
      </c>
      <c r="B600" s="162" t="s">
        <v>1412</v>
      </c>
      <c r="C600" s="176" t="s">
        <v>9</v>
      </c>
      <c r="D600" s="257">
        <f>744*(100%+20%)</f>
        <v>892.8</v>
      </c>
      <c r="E600" s="258">
        <f>806*(100%+20%)</f>
        <v>967.1999999999999</v>
      </c>
      <c r="F600" s="258">
        <f t="shared" si="14"/>
        <v>1160.3999999999999</v>
      </c>
      <c r="G600" s="259">
        <f t="shared" si="14"/>
        <v>1160.3999999999999</v>
      </c>
      <c r="H600" s="257">
        <f>870*(100%+20%)</f>
        <v>1044</v>
      </c>
      <c r="I600" s="258">
        <f>931*(100%+20%)</f>
        <v>1117.2</v>
      </c>
      <c r="J600" s="258">
        <f t="shared" si="15"/>
        <v>1310.3999999999999</v>
      </c>
      <c r="K600" s="259">
        <f t="shared" si="15"/>
        <v>1310.3999999999999</v>
      </c>
      <c r="L600" s="69"/>
      <c r="M600" s="44"/>
    </row>
    <row r="601" spans="1:13" ht="15" customHeight="1" thickBot="1">
      <c r="A601" s="74" t="s">
        <v>1211</v>
      </c>
      <c r="B601" s="196" t="s">
        <v>1413</v>
      </c>
      <c r="C601" s="178" t="s">
        <v>9</v>
      </c>
      <c r="D601" s="260">
        <f>744*(100%+20%)</f>
        <v>892.8</v>
      </c>
      <c r="E601" s="261">
        <f>806*(100%+20%)</f>
        <v>967.1999999999999</v>
      </c>
      <c r="F601" s="261">
        <f t="shared" si="14"/>
        <v>1160.3999999999999</v>
      </c>
      <c r="G601" s="262">
        <f t="shared" si="14"/>
        <v>1160.3999999999999</v>
      </c>
      <c r="H601" s="260">
        <f>870*(100%+20%)</f>
        <v>1044</v>
      </c>
      <c r="I601" s="261">
        <f>931*(100%+20%)</f>
        <v>1117.2</v>
      </c>
      <c r="J601" s="261">
        <f t="shared" si="15"/>
        <v>1310.3999999999999</v>
      </c>
      <c r="K601" s="262">
        <f t="shared" si="15"/>
        <v>1310.3999999999999</v>
      </c>
      <c r="L601" s="69"/>
      <c r="M601" s="44"/>
    </row>
    <row r="602" spans="1:13" ht="21" customHeight="1" thickBot="1">
      <c r="A602" s="74" t="s">
        <v>1212</v>
      </c>
      <c r="B602" s="325" t="s">
        <v>131</v>
      </c>
      <c r="C602" s="326"/>
      <c r="D602" s="337"/>
      <c r="E602" s="337"/>
      <c r="F602" s="337"/>
      <c r="G602" s="337"/>
      <c r="H602" s="337"/>
      <c r="I602" s="337"/>
      <c r="J602" s="337"/>
      <c r="K602" s="338"/>
      <c r="L602" s="69"/>
      <c r="M602" s="44"/>
    </row>
    <row r="603" spans="1:13" ht="15" customHeight="1" thickBot="1">
      <c r="A603" s="21" t="s">
        <v>1213</v>
      </c>
      <c r="B603" s="314" t="s">
        <v>97</v>
      </c>
      <c r="C603" s="312" t="s">
        <v>1379</v>
      </c>
      <c r="D603" s="316" t="s">
        <v>845</v>
      </c>
      <c r="E603" s="317"/>
      <c r="F603" s="317"/>
      <c r="G603" s="318"/>
      <c r="H603" s="316" t="s">
        <v>846</v>
      </c>
      <c r="I603" s="317"/>
      <c r="J603" s="317"/>
      <c r="K603" s="318"/>
      <c r="L603" s="69"/>
      <c r="M603" s="44"/>
    </row>
    <row r="604" spans="1:13" ht="15" customHeight="1" thickBot="1">
      <c r="A604" s="21" t="s">
        <v>1214</v>
      </c>
      <c r="B604" s="315"/>
      <c r="C604" s="313"/>
      <c r="D604" s="106" t="s">
        <v>847</v>
      </c>
      <c r="E604" s="105" t="s">
        <v>4</v>
      </c>
      <c r="F604" s="103" t="s">
        <v>5</v>
      </c>
      <c r="G604" s="105" t="s">
        <v>1420</v>
      </c>
      <c r="H604" s="103" t="s">
        <v>847</v>
      </c>
      <c r="I604" s="105" t="s">
        <v>4</v>
      </c>
      <c r="J604" s="103" t="s">
        <v>5</v>
      </c>
      <c r="K604" s="105" t="s">
        <v>1420</v>
      </c>
      <c r="L604" s="69"/>
      <c r="M604" s="44"/>
    </row>
    <row r="605" spans="1:13" ht="15" customHeight="1">
      <c r="A605" s="74" t="s">
        <v>1215</v>
      </c>
      <c r="B605" s="161" t="s">
        <v>123</v>
      </c>
      <c r="C605" s="175" t="s">
        <v>30</v>
      </c>
      <c r="D605" s="253">
        <f>654*(100%+20%)</f>
        <v>784.8</v>
      </c>
      <c r="E605" s="254">
        <f>722*(100%+20%)</f>
        <v>866.4</v>
      </c>
      <c r="F605" s="255">
        <f>900*(100%+20%)</f>
        <v>1080</v>
      </c>
      <c r="G605" s="256">
        <f>900*(100%+20%)</f>
        <v>1080</v>
      </c>
      <c r="H605" s="253">
        <f>970*(100%+20%)</f>
        <v>1164</v>
      </c>
      <c r="I605" s="254">
        <f>1038*(100%+20%)</f>
        <v>1245.6</v>
      </c>
      <c r="J605" s="255">
        <f>1216*(100%+20%)</f>
        <v>1459.2</v>
      </c>
      <c r="K605" s="256">
        <f>1216*(100%+20%)</f>
        <v>1459.2</v>
      </c>
      <c r="L605" s="69"/>
      <c r="M605" s="44"/>
    </row>
    <row r="606" spans="1:13" ht="15" customHeight="1">
      <c r="A606" s="74" t="s">
        <v>1216</v>
      </c>
      <c r="B606" s="162" t="s">
        <v>124</v>
      </c>
      <c r="C606" s="176" t="s">
        <v>9</v>
      </c>
      <c r="D606" s="257">
        <f>3261*(100%+20%)</f>
        <v>3913.2</v>
      </c>
      <c r="E606" s="258">
        <f>3512*(100%+20%)</f>
        <v>4214.4</v>
      </c>
      <c r="F606" s="258">
        <f>4171*(100%+20%)</f>
        <v>5005.2</v>
      </c>
      <c r="G606" s="259">
        <f>4171*(100%+20%)</f>
        <v>5005.2</v>
      </c>
      <c r="H606" s="257">
        <f>3577*(100%+20%)</f>
        <v>4292.4</v>
      </c>
      <c r="I606" s="258">
        <f>3828*(100%+20%)</f>
        <v>4593.599999999999</v>
      </c>
      <c r="J606" s="258">
        <f>4487*(100%+20%)</f>
        <v>5384.4</v>
      </c>
      <c r="K606" s="259">
        <f>4487*(100%+20%)</f>
        <v>5384.4</v>
      </c>
      <c r="L606" s="69"/>
      <c r="M606" s="44"/>
    </row>
    <row r="607" spans="1:13" ht="15" customHeight="1">
      <c r="A607" s="81" t="s">
        <v>1217</v>
      </c>
      <c r="B607" s="162" t="s">
        <v>125</v>
      </c>
      <c r="C607" s="176" t="s">
        <v>9</v>
      </c>
      <c r="D607" s="257">
        <f>3261*(100%+20%)</f>
        <v>3913.2</v>
      </c>
      <c r="E607" s="258">
        <f>3512*(100%+20%)</f>
        <v>4214.4</v>
      </c>
      <c r="F607" s="258">
        <f>4171*(100%+20%)</f>
        <v>5005.2</v>
      </c>
      <c r="G607" s="259">
        <f>4171*(100%+20%)</f>
        <v>5005.2</v>
      </c>
      <c r="H607" s="257">
        <f>3577*(100%+20%)</f>
        <v>4292.4</v>
      </c>
      <c r="I607" s="258">
        <f>3828*(100%+20%)</f>
        <v>4593.599999999999</v>
      </c>
      <c r="J607" s="258">
        <f>4487*(100%+20%)</f>
        <v>5384.4</v>
      </c>
      <c r="K607" s="259">
        <f>4487*(100%+20%)</f>
        <v>5384.4</v>
      </c>
      <c r="L607" s="69"/>
      <c r="M607" s="44"/>
    </row>
    <row r="608" spans="1:13" ht="15" customHeight="1">
      <c r="A608" s="81" t="s">
        <v>1218</v>
      </c>
      <c r="B608" s="162" t="s">
        <v>184</v>
      </c>
      <c r="C608" s="176" t="s">
        <v>9</v>
      </c>
      <c r="D608" s="257">
        <f>690*(100%+20%)</f>
        <v>828</v>
      </c>
      <c r="E608" s="258">
        <f>749*(100%+20%)</f>
        <v>898.8</v>
      </c>
      <c r="F608" s="258">
        <f>899*(100%+20%)</f>
        <v>1078.8</v>
      </c>
      <c r="G608" s="259">
        <f>899*(100%+20%)</f>
        <v>1078.8</v>
      </c>
      <c r="H608" s="257">
        <f>817*(100%+20%)</f>
        <v>980.4</v>
      </c>
      <c r="I608" s="258">
        <f>875*(100%+20%)</f>
        <v>1050</v>
      </c>
      <c r="J608" s="258">
        <f>1026*(100%+20%)</f>
        <v>1231.2</v>
      </c>
      <c r="K608" s="259">
        <f>1026*(100%+20%)</f>
        <v>1231.2</v>
      </c>
      <c r="L608" s="69"/>
      <c r="M608" s="44"/>
    </row>
    <row r="609" spans="1:13" ht="15" customHeight="1">
      <c r="A609" s="81" t="s">
        <v>1219</v>
      </c>
      <c r="B609" s="162" t="s">
        <v>185</v>
      </c>
      <c r="C609" s="176" t="s">
        <v>9</v>
      </c>
      <c r="D609" s="257">
        <f>744*(100%+20%)</f>
        <v>892.8</v>
      </c>
      <c r="E609" s="258">
        <f>806*(100%+20%)</f>
        <v>967.1999999999999</v>
      </c>
      <c r="F609" s="258">
        <f aca="true" t="shared" si="16" ref="F609:G612">967*(100%+20%)</f>
        <v>1160.3999999999999</v>
      </c>
      <c r="G609" s="259">
        <f t="shared" si="16"/>
        <v>1160.3999999999999</v>
      </c>
      <c r="H609" s="257">
        <f>870*(100%+20%)</f>
        <v>1044</v>
      </c>
      <c r="I609" s="258">
        <f>931*(100%+20%)</f>
        <v>1117.2</v>
      </c>
      <c r="J609" s="258">
        <f aca="true" t="shared" si="17" ref="J609:K612">1092*(100%+20%)</f>
        <v>1310.3999999999999</v>
      </c>
      <c r="K609" s="259">
        <f t="shared" si="17"/>
        <v>1310.3999999999999</v>
      </c>
      <c r="L609" s="69"/>
      <c r="M609" s="44"/>
    </row>
    <row r="610" spans="1:13" ht="15" customHeight="1">
      <c r="A610" s="81" t="s">
        <v>1220</v>
      </c>
      <c r="B610" s="162" t="s">
        <v>186</v>
      </c>
      <c r="C610" s="176" t="s">
        <v>9</v>
      </c>
      <c r="D610" s="257">
        <f>744*(100%+20%)</f>
        <v>892.8</v>
      </c>
      <c r="E610" s="258">
        <f>806*(100%+20%)</f>
        <v>967.1999999999999</v>
      </c>
      <c r="F610" s="258">
        <f t="shared" si="16"/>
        <v>1160.3999999999999</v>
      </c>
      <c r="G610" s="259">
        <f t="shared" si="16"/>
        <v>1160.3999999999999</v>
      </c>
      <c r="H610" s="257">
        <f>870*(100%+20%)</f>
        <v>1044</v>
      </c>
      <c r="I610" s="258">
        <f>931*(100%+20%)</f>
        <v>1117.2</v>
      </c>
      <c r="J610" s="258">
        <f t="shared" si="17"/>
        <v>1310.3999999999999</v>
      </c>
      <c r="K610" s="259">
        <f t="shared" si="17"/>
        <v>1310.3999999999999</v>
      </c>
      <c r="L610" s="69"/>
      <c r="M610" s="44"/>
    </row>
    <row r="611" spans="1:13" ht="15" customHeight="1">
      <c r="A611" s="81"/>
      <c r="B611" s="162" t="s">
        <v>187</v>
      </c>
      <c r="C611" s="176" t="s">
        <v>9</v>
      </c>
      <c r="D611" s="257">
        <f>744*(100%+20%)</f>
        <v>892.8</v>
      </c>
      <c r="E611" s="258">
        <f>806*(100%+20%)</f>
        <v>967.1999999999999</v>
      </c>
      <c r="F611" s="258">
        <f t="shared" si="16"/>
        <v>1160.3999999999999</v>
      </c>
      <c r="G611" s="259">
        <f t="shared" si="16"/>
        <v>1160.3999999999999</v>
      </c>
      <c r="H611" s="257">
        <f>870*(100%+20%)</f>
        <v>1044</v>
      </c>
      <c r="I611" s="258">
        <f>931*(100%+20%)</f>
        <v>1117.2</v>
      </c>
      <c r="J611" s="258">
        <f t="shared" si="17"/>
        <v>1310.3999999999999</v>
      </c>
      <c r="K611" s="259">
        <f t="shared" si="17"/>
        <v>1310.3999999999999</v>
      </c>
      <c r="L611" s="69"/>
      <c r="M611" s="44"/>
    </row>
    <row r="612" spans="1:13" ht="15" customHeight="1" thickBot="1">
      <c r="A612" s="81"/>
      <c r="B612" s="163" t="s">
        <v>188</v>
      </c>
      <c r="C612" s="178" t="s">
        <v>9</v>
      </c>
      <c r="D612" s="260">
        <f>744*(100%+20%)</f>
        <v>892.8</v>
      </c>
      <c r="E612" s="261">
        <f>806*(100%+20%)</f>
        <v>967.1999999999999</v>
      </c>
      <c r="F612" s="261">
        <f t="shared" si="16"/>
        <v>1160.3999999999999</v>
      </c>
      <c r="G612" s="262">
        <f t="shared" si="16"/>
        <v>1160.3999999999999</v>
      </c>
      <c r="H612" s="260">
        <f>870*(100%+20%)</f>
        <v>1044</v>
      </c>
      <c r="I612" s="261">
        <f>931*(100%+20%)</f>
        <v>1117.2</v>
      </c>
      <c r="J612" s="261">
        <f t="shared" si="17"/>
        <v>1310.3999999999999</v>
      </c>
      <c r="K612" s="262">
        <f t="shared" si="17"/>
        <v>1310.3999999999999</v>
      </c>
      <c r="L612" s="69"/>
      <c r="M612" s="44"/>
    </row>
    <row r="613" spans="1:13" ht="21" customHeight="1" thickBot="1">
      <c r="A613" s="81"/>
      <c r="B613" s="325" t="s">
        <v>352</v>
      </c>
      <c r="C613" s="326"/>
      <c r="D613" s="337"/>
      <c r="E613" s="337"/>
      <c r="F613" s="337"/>
      <c r="G613" s="337"/>
      <c r="H613" s="337"/>
      <c r="I613" s="337"/>
      <c r="J613" s="337"/>
      <c r="K613" s="338"/>
      <c r="L613" s="69"/>
      <c r="M613" s="44"/>
    </row>
    <row r="614" spans="1:13" ht="15" customHeight="1" thickBot="1">
      <c r="A614" s="27" t="s">
        <v>1221</v>
      </c>
      <c r="B614" s="314" t="s">
        <v>97</v>
      </c>
      <c r="C614" s="312" t="s">
        <v>1379</v>
      </c>
      <c r="D614" s="316" t="s">
        <v>845</v>
      </c>
      <c r="E614" s="317"/>
      <c r="F614" s="317"/>
      <c r="G614" s="318"/>
      <c r="H614" s="316" t="s">
        <v>846</v>
      </c>
      <c r="I614" s="317"/>
      <c r="J614" s="317"/>
      <c r="K614" s="318"/>
      <c r="L614" s="69"/>
      <c r="M614" s="44"/>
    </row>
    <row r="615" spans="1:13" ht="15" customHeight="1" thickBot="1">
      <c r="A615" s="27" t="s">
        <v>1222</v>
      </c>
      <c r="B615" s="315"/>
      <c r="C615" s="313"/>
      <c r="D615" s="106" t="s">
        <v>847</v>
      </c>
      <c r="E615" s="105" t="s">
        <v>4</v>
      </c>
      <c r="F615" s="103" t="s">
        <v>5</v>
      </c>
      <c r="G615" s="105" t="s">
        <v>1420</v>
      </c>
      <c r="H615" s="103" t="s">
        <v>847</v>
      </c>
      <c r="I615" s="105" t="s">
        <v>4</v>
      </c>
      <c r="J615" s="103" t="s">
        <v>5</v>
      </c>
      <c r="K615" s="105" t="s">
        <v>1420</v>
      </c>
      <c r="L615" s="69"/>
      <c r="M615" s="44"/>
    </row>
    <row r="616" spans="1:13" ht="15" customHeight="1">
      <c r="A616" s="81" t="s">
        <v>1223</v>
      </c>
      <c r="B616" s="161" t="s">
        <v>353</v>
      </c>
      <c r="C616" s="175" t="s">
        <v>30</v>
      </c>
      <c r="D616" s="253">
        <f>1283*(100%+20%)</f>
        <v>1539.6</v>
      </c>
      <c r="E616" s="254">
        <f>1395*(100%+20%)</f>
        <v>1674</v>
      </c>
      <c r="F616" s="255">
        <f>1690*(100%+20%)</f>
        <v>2028</v>
      </c>
      <c r="G616" s="256">
        <f>1690*(100%+20%)</f>
        <v>2028</v>
      </c>
      <c r="H616" s="253">
        <f>1599*(100%+20%)</f>
        <v>1918.8</v>
      </c>
      <c r="I616" s="254">
        <f>1711*(100%+20%)</f>
        <v>2053.2</v>
      </c>
      <c r="J616" s="255">
        <f>2006*(100%+20%)</f>
        <v>2407.2</v>
      </c>
      <c r="K616" s="256">
        <f>2006*(100%+20%)</f>
        <v>2407.2</v>
      </c>
      <c r="L616" s="69"/>
      <c r="M616" s="44"/>
    </row>
    <row r="617" spans="1:13" ht="15" customHeight="1">
      <c r="A617" s="81"/>
      <c r="B617" s="162" t="s">
        <v>354</v>
      </c>
      <c r="C617" s="176" t="s">
        <v>9</v>
      </c>
      <c r="D617" s="257">
        <f>3485*(100%+20%)</f>
        <v>4182</v>
      </c>
      <c r="E617" s="258">
        <f>3750*(100%+20%)</f>
        <v>4500</v>
      </c>
      <c r="F617" s="258">
        <f>4451*(100%+20%)</f>
        <v>5341.2</v>
      </c>
      <c r="G617" s="259">
        <f>4451*(100%+20%)</f>
        <v>5341.2</v>
      </c>
      <c r="H617" s="257">
        <f>3801*(100%+20%)</f>
        <v>4561.2</v>
      </c>
      <c r="I617" s="258">
        <f>4068*(100%+20%)</f>
        <v>4881.599999999999</v>
      </c>
      <c r="J617" s="258">
        <f>4767*(100%+20%)</f>
        <v>5720.4</v>
      </c>
      <c r="K617" s="259">
        <f>4767*(100%+20%)</f>
        <v>5720.4</v>
      </c>
      <c r="L617" s="69"/>
      <c r="M617" s="44"/>
    </row>
    <row r="618" spans="1:13" ht="15" customHeight="1">
      <c r="A618" s="81"/>
      <c r="B618" s="162" t="s">
        <v>355</v>
      </c>
      <c r="C618" s="176" t="s">
        <v>9</v>
      </c>
      <c r="D618" s="257">
        <f>3485*(100%+20%)</f>
        <v>4182</v>
      </c>
      <c r="E618" s="258">
        <f>3750*(100%+20%)</f>
        <v>4500</v>
      </c>
      <c r="F618" s="258">
        <f>4451*(100%+20%)</f>
        <v>5341.2</v>
      </c>
      <c r="G618" s="259">
        <f>4451*(100%+20%)</f>
        <v>5341.2</v>
      </c>
      <c r="H618" s="257">
        <f>3801*(100%+20%)</f>
        <v>4561.2</v>
      </c>
      <c r="I618" s="258">
        <f>4068*(100%+20%)</f>
        <v>4881.599999999999</v>
      </c>
      <c r="J618" s="258">
        <f>4767*(100%+20%)</f>
        <v>5720.4</v>
      </c>
      <c r="K618" s="259">
        <f>4767*(100%+20%)</f>
        <v>5720.4</v>
      </c>
      <c r="L618" s="69"/>
      <c r="M618" s="44"/>
    </row>
    <row r="619" spans="1:13" ht="15" customHeight="1">
      <c r="A619" s="81"/>
      <c r="B619" s="162" t="s">
        <v>356</v>
      </c>
      <c r="C619" s="176" t="s">
        <v>9</v>
      </c>
      <c r="D619" s="257">
        <f>720*(100%+20%)</f>
        <v>864</v>
      </c>
      <c r="E619" s="258">
        <f>779*(100%+20%)</f>
        <v>934.8</v>
      </c>
      <c r="F619" s="258">
        <f>935*(100%+20%)</f>
        <v>1122</v>
      </c>
      <c r="G619" s="259">
        <f>935*(100%+20%)</f>
        <v>1122</v>
      </c>
      <c r="H619" s="257">
        <f>845*(100%+20%)</f>
        <v>1014</v>
      </c>
      <c r="I619" s="258">
        <f>905*(100%+20%)</f>
        <v>1086</v>
      </c>
      <c r="J619" s="258">
        <f>1061*(100%+20%)</f>
        <v>1273.2</v>
      </c>
      <c r="K619" s="259">
        <f>1061*(100%+20%)</f>
        <v>1273.2</v>
      </c>
      <c r="L619" s="69"/>
      <c r="M619" s="44"/>
    </row>
    <row r="620" spans="1:13" ht="15" customHeight="1">
      <c r="A620" s="81" t="s">
        <v>1224</v>
      </c>
      <c r="B620" s="162" t="s">
        <v>357</v>
      </c>
      <c r="C620" s="176" t="s">
        <v>9</v>
      </c>
      <c r="D620" s="257">
        <f>771*(100%+20%)</f>
        <v>925.1999999999999</v>
      </c>
      <c r="E620" s="258">
        <f>835*(100%+20%)</f>
        <v>1002</v>
      </c>
      <c r="F620" s="258">
        <f aca="true" t="shared" si="18" ref="F620:G623">1001*(100%+20%)</f>
        <v>1201.2</v>
      </c>
      <c r="G620" s="259">
        <f t="shared" si="18"/>
        <v>1201.2</v>
      </c>
      <c r="H620" s="257">
        <f>898*(100%+20%)</f>
        <v>1077.6</v>
      </c>
      <c r="I620" s="258">
        <f>962*(100%+20%)</f>
        <v>1154.3999999999999</v>
      </c>
      <c r="J620" s="258">
        <f aca="true" t="shared" si="19" ref="J620:K623">1128*(100%+20%)</f>
        <v>1353.6</v>
      </c>
      <c r="K620" s="259">
        <f t="shared" si="19"/>
        <v>1353.6</v>
      </c>
      <c r="L620" s="69"/>
      <c r="M620" s="44"/>
    </row>
    <row r="621" spans="1:13" ht="15" customHeight="1">
      <c r="A621" s="81" t="s">
        <v>1225</v>
      </c>
      <c r="B621" s="162" t="s">
        <v>358</v>
      </c>
      <c r="C621" s="176" t="s">
        <v>9</v>
      </c>
      <c r="D621" s="257">
        <f>771*(100%+20%)</f>
        <v>925.1999999999999</v>
      </c>
      <c r="E621" s="258">
        <f>835*(100%+20%)</f>
        <v>1002</v>
      </c>
      <c r="F621" s="258">
        <f t="shared" si="18"/>
        <v>1201.2</v>
      </c>
      <c r="G621" s="259">
        <f t="shared" si="18"/>
        <v>1201.2</v>
      </c>
      <c r="H621" s="257">
        <f>898*(100%+20%)</f>
        <v>1077.6</v>
      </c>
      <c r="I621" s="258">
        <f>962*(100%+20%)</f>
        <v>1154.3999999999999</v>
      </c>
      <c r="J621" s="258">
        <f t="shared" si="19"/>
        <v>1353.6</v>
      </c>
      <c r="K621" s="259">
        <f t="shared" si="19"/>
        <v>1353.6</v>
      </c>
      <c r="L621" s="69"/>
      <c r="M621" s="44"/>
    </row>
    <row r="622" spans="1:13" ht="15" customHeight="1">
      <c r="A622" s="98" t="s">
        <v>1226</v>
      </c>
      <c r="B622" s="162" t="s">
        <v>359</v>
      </c>
      <c r="C622" s="176" t="s">
        <v>9</v>
      </c>
      <c r="D622" s="257">
        <f>771*(100%+20%)</f>
        <v>925.1999999999999</v>
      </c>
      <c r="E622" s="258">
        <f>835*(100%+20%)</f>
        <v>1002</v>
      </c>
      <c r="F622" s="258">
        <f t="shared" si="18"/>
        <v>1201.2</v>
      </c>
      <c r="G622" s="259">
        <f t="shared" si="18"/>
        <v>1201.2</v>
      </c>
      <c r="H622" s="257">
        <f>898*(100%+20%)</f>
        <v>1077.6</v>
      </c>
      <c r="I622" s="258">
        <f>962*(100%+20%)</f>
        <v>1154.3999999999999</v>
      </c>
      <c r="J622" s="258">
        <f t="shared" si="19"/>
        <v>1353.6</v>
      </c>
      <c r="K622" s="259">
        <f t="shared" si="19"/>
        <v>1353.6</v>
      </c>
      <c r="L622" s="69"/>
      <c r="M622" s="44"/>
    </row>
    <row r="623" spans="1:13" ht="15" customHeight="1" thickBot="1">
      <c r="A623" s="101" t="s">
        <v>1227</v>
      </c>
      <c r="B623" s="163" t="s">
        <v>360</v>
      </c>
      <c r="C623" s="179" t="s">
        <v>9</v>
      </c>
      <c r="D623" s="260">
        <f>771*(100%+20%)</f>
        <v>925.1999999999999</v>
      </c>
      <c r="E623" s="261">
        <f>835*(100%+20%)</f>
        <v>1002</v>
      </c>
      <c r="F623" s="261">
        <f t="shared" si="18"/>
        <v>1201.2</v>
      </c>
      <c r="G623" s="262">
        <f t="shared" si="18"/>
        <v>1201.2</v>
      </c>
      <c r="H623" s="260">
        <f>898*(100%+20%)</f>
        <v>1077.6</v>
      </c>
      <c r="I623" s="261">
        <f>962*(100%+20%)</f>
        <v>1154.3999999999999</v>
      </c>
      <c r="J623" s="261">
        <f t="shared" si="19"/>
        <v>1353.6</v>
      </c>
      <c r="K623" s="262">
        <f t="shared" si="19"/>
        <v>1353.6</v>
      </c>
      <c r="L623" s="69"/>
      <c r="M623" s="44"/>
    </row>
    <row r="624" spans="1:13" ht="21" customHeight="1" thickBot="1">
      <c r="A624" s="98" t="s">
        <v>1228</v>
      </c>
      <c r="B624" s="325" t="s">
        <v>752</v>
      </c>
      <c r="C624" s="326"/>
      <c r="D624" s="337"/>
      <c r="E624" s="337"/>
      <c r="F624" s="337"/>
      <c r="G624" s="337"/>
      <c r="H624" s="337"/>
      <c r="I624" s="337"/>
      <c r="J624" s="337"/>
      <c r="K624" s="338"/>
      <c r="L624" s="69"/>
      <c r="M624" s="44"/>
    </row>
    <row r="625" spans="1:13" ht="15" customHeight="1" thickBot="1">
      <c r="A625" s="36" t="s">
        <v>1229</v>
      </c>
      <c r="B625" s="314" t="s">
        <v>97</v>
      </c>
      <c r="C625" s="312" t="s">
        <v>1379</v>
      </c>
      <c r="D625" s="316" t="s">
        <v>845</v>
      </c>
      <c r="E625" s="317"/>
      <c r="F625" s="317"/>
      <c r="G625" s="318"/>
      <c r="H625" s="316" t="s">
        <v>846</v>
      </c>
      <c r="I625" s="317"/>
      <c r="J625" s="317"/>
      <c r="K625" s="318"/>
      <c r="L625" s="69"/>
      <c r="M625" s="44"/>
    </row>
    <row r="626" spans="1:13" ht="15" customHeight="1" thickBot="1">
      <c r="A626" s="28" t="s">
        <v>1230</v>
      </c>
      <c r="B626" s="315"/>
      <c r="C626" s="313"/>
      <c r="D626" s="106" t="s">
        <v>847</v>
      </c>
      <c r="E626" s="105" t="s">
        <v>4</v>
      </c>
      <c r="F626" s="103" t="s">
        <v>5</v>
      </c>
      <c r="G626" s="105" t="s">
        <v>1420</v>
      </c>
      <c r="H626" s="103" t="s">
        <v>847</v>
      </c>
      <c r="I626" s="105" t="s">
        <v>4</v>
      </c>
      <c r="J626" s="103" t="s">
        <v>5</v>
      </c>
      <c r="K626" s="105" t="s">
        <v>1420</v>
      </c>
      <c r="L626" s="69"/>
      <c r="M626" s="44"/>
    </row>
    <row r="627" spans="1:13" ht="15" customHeight="1">
      <c r="A627" s="81" t="s">
        <v>1231</v>
      </c>
      <c r="B627" s="161" t="s">
        <v>753</v>
      </c>
      <c r="C627" s="175" t="s">
        <v>30</v>
      </c>
      <c r="D627" s="253">
        <f>654*(100%+20%)</f>
        <v>784.8</v>
      </c>
      <c r="E627" s="254">
        <f>722*(100%+20%)</f>
        <v>866.4</v>
      </c>
      <c r="F627" s="255">
        <f>900*(100%+20%)</f>
        <v>1080</v>
      </c>
      <c r="G627" s="256">
        <f>900*(100%+20%)</f>
        <v>1080</v>
      </c>
      <c r="H627" s="253">
        <f>970*(100%+20%)</f>
        <v>1164</v>
      </c>
      <c r="I627" s="254">
        <f>1038*(100%+20%)</f>
        <v>1245.6</v>
      </c>
      <c r="J627" s="255">
        <f>1216*(100%+20%)</f>
        <v>1459.2</v>
      </c>
      <c r="K627" s="256">
        <f>1216*(100%+20%)</f>
        <v>1459.2</v>
      </c>
      <c r="L627" s="69"/>
      <c r="M627" s="44"/>
    </row>
    <row r="628" spans="1:13" ht="15" customHeight="1">
      <c r="A628" s="101" t="s">
        <v>1232</v>
      </c>
      <c r="B628" s="162" t="s">
        <v>754</v>
      </c>
      <c r="C628" s="176" t="s">
        <v>9</v>
      </c>
      <c r="D628" s="257">
        <f>3105*(100%+20%)</f>
        <v>3726</v>
      </c>
      <c r="E628" s="258">
        <f>3344*(100%+20%)</f>
        <v>4012.7999999999997</v>
      </c>
      <c r="F628" s="258">
        <f>3975*(100%+20%)</f>
        <v>4770</v>
      </c>
      <c r="G628" s="259">
        <f>3975*(100%+20%)</f>
        <v>4770</v>
      </c>
      <c r="H628" s="257">
        <f>3421*(100%+20%)</f>
        <v>4105.2</v>
      </c>
      <c r="I628" s="258">
        <f>3660*(100%+20%)</f>
        <v>4392</v>
      </c>
      <c r="J628" s="258">
        <f>4291*(100%+20%)</f>
        <v>5149.2</v>
      </c>
      <c r="K628" s="259">
        <f>4291*(100%+20%)</f>
        <v>5149.2</v>
      </c>
      <c r="L628" s="69"/>
      <c r="M628" s="44"/>
    </row>
    <row r="629" spans="1:13" ht="15" customHeight="1">
      <c r="A629" s="101" t="s">
        <v>1233</v>
      </c>
      <c r="B629" s="162" t="s">
        <v>755</v>
      </c>
      <c r="C629" s="176" t="s">
        <v>9</v>
      </c>
      <c r="D629" s="257">
        <f>3105*(100%+20%)</f>
        <v>3726</v>
      </c>
      <c r="E629" s="258">
        <f>3344*(100%+20%)</f>
        <v>4012.7999999999997</v>
      </c>
      <c r="F629" s="258">
        <f>3975*(100%+20%)</f>
        <v>4770</v>
      </c>
      <c r="G629" s="259">
        <f>3975*(100%+20%)</f>
        <v>4770</v>
      </c>
      <c r="H629" s="257">
        <f>3421*(100%+20%)</f>
        <v>4105.2</v>
      </c>
      <c r="I629" s="258">
        <f>3660*(100%+20%)</f>
        <v>4392</v>
      </c>
      <c r="J629" s="258">
        <f>4291*(100%+20%)</f>
        <v>5149.2</v>
      </c>
      <c r="K629" s="259">
        <f>4291*(100%+20%)</f>
        <v>5149.2</v>
      </c>
      <c r="L629" s="69"/>
      <c r="M629" s="44"/>
    </row>
    <row r="630" spans="1:13" ht="15" customHeight="1" thickBot="1">
      <c r="A630" s="101" t="s">
        <v>1234</v>
      </c>
      <c r="B630" s="163" t="s">
        <v>762</v>
      </c>
      <c r="C630" s="178" t="s">
        <v>9</v>
      </c>
      <c r="D630" s="260">
        <f>171*(100%+20%)</f>
        <v>205.2</v>
      </c>
      <c r="E630" s="261">
        <f>191*(100%+20%)</f>
        <v>229.2</v>
      </c>
      <c r="F630" s="261">
        <f>246*(100%+20%)</f>
        <v>295.2</v>
      </c>
      <c r="G630" s="262">
        <f>246*(100%+20%)</f>
        <v>295.2</v>
      </c>
      <c r="H630" s="260">
        <f>296*(100%+20%)</f>
        <v>355.2</v>
      </c>
      <c r="I630" s="261">
        <f>317*(100%+20%)</f>
        <v>380.4</v>
      </c>
      <c r="J630" s="261">
        <f>373*(100%+20%)</f>
        <v>447.59999999999997</v>
      </c>
      <c r="K630" s="262">
        <f>373*(100%+20%)</f>
        <v>447.59999999999997</v>
      </c>
      <c r="L630" s="69"/>
      <c r="M630" s="44"/>
    </row>
    <row r="631" spans="1:13" ht="21" customHeight="1" thickBot="1">
      <c r="A631" s="101"/>
      <c r="B631" s="325" t="s">
        <v>2196</v>
      </c>
      <c r="C631" s="326"/>
      <c r="D631" s="326"/>
      <c r="E631" s="326"/>
      <c r="F631" s="326"/>
      <c r="G631" s="326"/>
      <c r="H631" s="326"/>
      <c r="I631" s="326"/>
      <c r="J631" s="326"/>
      <c r="K631" s="327"/>
      <c r="L631" s="69"/>
      <c r="M631" s="44"/>
    </row>
    <row r="632" spans="1:13" ht="15" customHeight="1" thickBot="1">
      <c r="A632" s="101"/>
      <c r="B632" s="314" t="s">
        <v>97</v>
      </c>
      <c r="C632" s="312" t="s">
        <v>1379</v>
      </c>
      <c r="D632" s="316" t="s">
        <v>845</v>
      </c>
      <c r="E632" s="317"/>
      <c r="F632" s="317"/>
      <c r="G632" s="318"/>
      <c r="H632" s="316" t="s">
        <v>846</v>
      </c>
      <c r="I632" s="317"/>
      <c r="J632" s="317"/>
      <c r="K632" s="318"/>
      <c r="L632" s="69"/>
      <c r="M632" s="44"/>
    </row>
    <row r="633" spans="1:13" ht="15" customHeight="1" thickBot="1">
      <c r="A633" s="101"/>
      <c r="B633" s="315"/>
      <c r="C633" s="313"/>
      <c r="D633" s="106" t="s">
        <v>847</v>
      </c>
      <c r="E633" s="105" t="s">
        <v>4</v>
      </c>
      <c r="F633" s="103" t="s">
        <v>5</v>
      </c>
      <c r="G633" s="105" t="s">
        <v>1420</v>
      </c>
      <c r="H633" s="103" t="s">
        <v>847</v>
      </c>
      <c r="I633" s="105" t="s">
        <v>4</v>
      </c>
      <c r="J633" s="103" t="s">
        <v>5</v>
      </c>
      <c r="K633" s="105" t="s">
        <v>1420</v>
      </c>
      <c r="L633" s="69"/>
      <c r="M633" s="44"/>
    </row>
    <row r="634" spans="1:13" ht="15" customHeight="1" thickBot="1">
      <c r="A634" s="101"/>
      <c r="B634" s="164" t="s">
        <v>1519</v>
      </c>
      <c r="C634" s="181" t="s">
        <v>30</v>
      </c>
      <c r="D634" s="264">
        <f>192*(100%+20%)</f>
        <v>230.39999999999998</v>
      </c>
      <c r="E634" s="265">
        <f>228*(100%+20%)</f>
        <v>273.59999999999997</v>
      </c>
      <c r="F634" s="265">
        <f>321*(100%+20%)</f>
        <v>385.2</v>
      </c>
      <c r="G634" s="266">
        <f>321*(100%+20%)</f>
        <v>385.2</v>
      </c>
      <c r="H634" s="264">
        <f>508*(100%+20%)</f>
        <v>609.6</v>
      </c>
      <c r="I634" s="265">
        <f>545*(100%+20%)</f>
        <v>654</v>
      </c>
      <c r="J634" s="265">
        <f>637*(100%+20%)</f>
        <v>764.4</v>
      </c>
      <c r="K634" s="266">
        <f>637*(100%+20%)</f>
        <v>764.4</v>
      </c>
      <c r="L634" s="69"/>
      <c r="M634" s="44"/>
    </row>
    <row r="635" spans="1:13" ht="21" customHeight="1" thickBot="1">
      <c r="A635" s="81" t="s">
        <v>1235</v>
      </c>
      <c r="B635" s="325" t="s">
        <v>367</v>
      </c>
      <c r="C635" s="326"/>
      <c r="D635" s="337"/>
      <c r="E635" s="337"/>
      <c r="F635" s="337"/>
      <c r="G635" s="337"/>
      <c r="H635" s="337"/>
      <c r="I635" s="337"/>
      <c r="J635" s="337"/>
      <c r="K635" s="338"/>
      <c r="L635" s="69"/>
      <c r="M635" s="44"/>
    </row>
    <row r="636" spans="1:13" ht="15" customHeight="1" thickBot="1">
      <c r="A636" s="29" t="s">
        <v>1236</v>
      </c>
      <c r="B636" s="314" t="s">
        <v>97</v>
      </c>
      <c r="C636" s="312" t="s">
        <v>1379</v>
      </c>
      <c r="D636" s="316" t="s">
        <v>845</v>
      </c>
      <c r="E636" s="317"/>
      <c r="F636" s="317"/>
      <c r="G636" s="318"/>
      <c r="H636" s="316" t="s">
        <v>846</v>
      </c>
      <c r="I636" s="317"/>
      <c r="J636" s="317"/>
      <c r="K636" s="318"/>
      <c r="L636" s="69"/>
      <c r="M636" s="44"/>
    </row>
    <row r="637" spans="1:11" ht="15" customHeight="1" thickBot="1">
      <c r="A637" s="31"/>
      <c r="B637" s="315"/>
      <c r="C637" s="313"/>
      <c r="D637" s="106" t="s">
        <v>847</v>
      </c>
      <c r="E637" s="105" t="s">
        <v>4</v>
      </c>
      <c r="F637" s="103" t="s">
        <v>5</v>
      </c>
      <c r="G637" s="105" t="s">
        <v>1420</v>
      </c>
      <c r="H637" s="103" t="s">
        <v>847</v>
      </c>
      <c r="I637" s="105" t="s">
        <v>4</v>
      </c>
      <c r="J637" s="103" t="s">
        <v>5</v>
      </c>
      <c r="K637" s="105" t="s">
        <v>1420</v>
      </c>
    </row>
    <row r="638" spans="1:11" ht="15" customHeight="1">
      <c r="A638" s="31"/>
      <c r="B638" s="161" t="s">
        <v>1452</v>
      </c>
      <c r="C638" s="182" t="s">
        <v>30</v>
      </c>
      <c r="D638" s="267">
        <f>1038*(100%+20%)</f>
        <v>1245.6</v>
      </c>
      <c r="E638" s="254">
        <f>1133*(100%+20%)</f>
        <v>1359.6</v>
      </c>
      <c r="F638" s="255">
        <f>1383*(100%+20%)</f>
        <v>1659.6</v>
      </c>
      <c r="G638" s="256">
        <f>1383*(100%+20%)</f>
        <v>1659.6</v>
      </c>
      <c r="H638" s="253">
        <f>1354*(100%+20%)</f>
        <v>1624.8</v>
      </c>
      <c r="I638" s="254">
        <f>1449*(100%+20%)</f>
        <v>1738.8</v>
      </c>
      <c r="J638" s="255">
        <f>1699*(100%+20%)</f>
        <v>2038.8</v>
      </c>
      <c r="K638" s="256">
        <f>1699*(100%+20%)</f>
        <v>2038.8</v>
      </c>
    </row>
    <row r="639" spans="1:11" ht="15" customHeight="1">
      <c r="A639" s="18"/>
      <c r="B639" s="162" t="s">
        <v>1453</v>
      </c>
      <c r="C639" s="183" t="s">
        <v>9</v>
      </c>
      <c r="D639" s="268">
        <f>3485*(100%+20%)</f>
        <v>4182</v>
      </c>
      <c r="E639" s="258">
        <f>3750*(100%+20%)</f>
        <v>4500</v>
      </c>
      <c r="F639" s="258">
        <f>4451*(100%+20%)</f>
        <v>5341.2</v>
      </c>
      <c r="G639" s="259">
        <f>4451*(100%+20%)</f>
        <v>5341.2</v>
      </c>
      <c r="H639" s="257">
        <f>3801*(100%+20%)</f>
        <v>4561.2</v>
      </c>
      <c r="I639" s="258">
        <f>4068*(100%+20%)</f>
        <v>4881.599999999999</v>
      </c>
      <c r="J639" s="258">
        <f>4767*(100%+20%)</f>
        <v>5720.4</v>
      </c>
      <c r="K639" s="259">
        <f>4767*(100%+20%)</f>
        <v>5720.4</v>
      </c>
    </row>
    <row r="640" spans="1:11" ht="15" customHeight="1">
      <c r="A640" s="18"/>
      <c r="B640" s="162" t="s">
        <v>1454</v>
      </c>
      <c r="C640" s="183" t="s">
        <v>9</v>
      </c>
      <c r="D640" s="268">
        <f>3485*(100%+20%)</f>
        <v>4182</v>
      </c>
      <c r="E640" s="258">
        <f>3750*(100%+20%)</f>
        <v>4500</v>
      </c>
      <c r="F640" s="258">
        <f>4451*(100%+20%)</f>
        <v>5341.2</v>
      </c>
      <c r="G640" s="259">
        <f>4451*(100%+20%)</f>
        <v>5341.2</v>
      </c>
      <c r="H640" s="257">
        <f>3801*(100%+20%)</f>
        <v>4561.2</v>
      </c>
      <c r="I640" s="258">
        <f>4068*(100%+20%)</f>
        <v>4881.599999999999</v>
      </c>
      <c r="J640" s="258">
        <f>4767*(100%+20%)</f>
        <v>5720.4</v>
      </c>
      <c r="K640" s="259">
        <f>4767*(100%+20%)</f>
        <v>5720.4</v>
      </c>
    </row>
    <row r="641" spans="1:11" ht="15" customHeight="1">
      <c r="A641" s="18"/>
      <c r="B641" s="162" t="s">
        <v>1455</v>
      </c>
      <c r="C641" s="183" t="s">
        <v>9</v>
      </c>
      <c r="D641" s="268">
        <f>1048*(100%+20%)</f>
        <v>1257.6</v>
      </c>
      <c r="E641" s="258">
        <f>1130*(100%+20%)</f>
        <v>1356</v>
      </c>
      <c r="F641" s="258">
        <f>1347*(100%+20%)</f>
        <v>1616.3999999999999</v>
      </c>
      <c r="G641" s="259">
        <f>1347*(100%+20%)</f>
        <v>1616.3999999999999</v>
      </c>
      <c r="H641" s="257">
        <f>1173*(100%+20%)</f>
        <v>1407.6</v>
      </c>
      <c r="I641" s="258">
        <f>1256*(100%+20%)</f>
        <v>1507.2</v>
      </c>
      <c r="J641" s="258">
        <f>1472*(100%+20%)</f>
        <v>1766.3999999999999</v>
      </c>
      <c r="K641" s="259">
        <f>1472*(100%+20%)</f>
        <v>1766.3999999999999</v>
      </c>
    </row>
    <row r="642" spans="1:11" ht="15" customHeight="1">
      <c r="A642" s="18"/>
      <c r="B642" s="162" t="s">
        <v>1456</v>
      </c>
      <c r="C642" s="183" t="s">
        <v>30</v>
      </c>
      <c r="D642" s="268">
        <f>771*(100%+20%)</f>
        <v>925.1999999999999</v>
      </c>
      <c r="E642" s="258">
        <f>847*(100%+20%)</f>
        <v>1016.4</v>
      </c>
      <c r="F642" s="258">
        <f>1048*(100%+20%)</f>
        <v>1257.6</v>
      </c>
      <c r="G642" s="259">
        <f>1048*(100%+20%)</f>
        <v>1257.6</v>
      </c>
      <c r="H642" s="257">
        <f>1087*(100%+20%)</f>
        <v>1304.3999999999999</v>
      </c>
      <c r="I642" s="258">
        <f>1164*(100%+20%)</f>
        <v>1396.8</v>
      </c>
      <c r="J642" s="258">
        <f>1364*(100%+20%)</f>
        <v>1636.8</v>
      </c>
      <c r="K642" s="259">
        <f>1364*(100%+20%)</f>
        <v>1636.8</v>
      </c>
    </row>
    <row r="643" spans="1:11" ht="15" customHeight="1">
      <c r="A643" s="18"/>
      <c r="B643" s="162" t="s">
        <v>1457</v>
      </c>
      <c r="C643" s="183" t="s">
        <v>9</v>
      </c>
      <c r="D643" s="268">
        <f>2749*(100%+20%)</f>
        <v>3298.7999999999997</v>
      </c>
      <c r="E643" s="258">
        <f>2964*(100%+20%)</f>
        <v>3556.7999999999997</v>
      </c>
      <c r="F643" s="258">
        <f>3529*(100%+20%)</f>
        <v>4234.8</v>
      </c>
      <c r="G643" s="259">
        <f>3529*(100%+20%)</f>
        <v>4234.8</v>
      </c>
      <c r="H643" s="257">
        <f>3065*(100%+20%)</f>
        <v>3678</v>
      </c>
      <c r="I643" s="258">
        <f>3280*(100%+20%)</f>
        <v>3936</v>
      </c>
      <c r="J643" s="258">
        <f>3845*(100%+20%)</f>
        <v>4614</v>
      </c>
      <c r="K643" s="259">
        <f>3845*(100%+20%)</f>
        <v>4614</v>
      </c>
    </row>
    <row r="644" spans="1:11" ht="15" customHeight="1">
      <c r="A644" s="18"/>
      <c r="B644" s="162" t="s">
        <v>1458</v>
      </c>
      <c r="C644" s="183" t="s">
        <v>9</v>
      </c>
      <c r="D644" s="268">
        <f>2749*(100%+20%)</f>
        <v>3298.7999999999997</v>
      </c>
      <c r="E644" s="258">
        <f>2964*(100%+20%)</f>
        <v>3556.7999999999997</v>
      </c>
      <c r="F644" s="258">
        <f>3529*(100%+20%)</f>
        <v>4234.8</v>
      </c>
      <c r="G644" s="259">
        <f>3529*(100%+20%)</f>
        <v>4234.8</v>
      </c>
      <c r="H644" s="257">
        <f>3065*(100%+20%)</f>
        <v>3678</v>
      </c>
      <c r="I644" s="258">
        <f>3280*(100%+20%)</f>
        <v>3936</v>
      </c>
      <c r="J644" s="258">
        <f>3845*(100%+20%)</f>
        <v>4614</v>
      </c>
      <c r="K644" s="259">
        <f>3845*(100%+20%)</f>
        <v>4614</v>
      </c>
    </row>
    <row r="645" spans="1:11" ht="15" customHeight="1" thickBot="1">
      <c r="A645" s="18"/>
      <c r="B645" s="163" t="s">
        <v>1459</v>
      </c>
      <c r="C645" s="184" t="s">
        <v>9</v>
      </c>
      <c r="D645" s="269">
        <f>813*(100%+20%)</f>
        <v>975.5999999999999</v>
      </c>
      <c r="E645" s="270">
        <f>879*(100%+20%)</f>
        <v>1054.8</v>
      </c>
      <c r="F645" s="270">
        <f>1053*(100%+20%)</f>
        <v>1263.6</v>
      </c>
      <c r="G645" s="271">
        <f>1053*(100%+20%)</f>
        <v>1263.6</v>
      </c>
      <c r="H645" s="272">
        <f>940*(100%+20%)</f>
        <v>1128</v>
      </c>
      <c r="I645" s="270">
        <f>1005*(100%+20%)</f>
        <v>1206</v>
      </c>
      <c r="J645" s="270">
        <f>1180*(100%+20%)</f>
        <v>1416</v>
      </c>
      <c r="K645" s="271">
        <f>1180*(100%+20%)</f>
        <v>1416</v>
      </c>
    </row>
    <row r="646" spans="1:11" ht="21" customHeight="1" thickBot="1">
      <c r="A646" s="18"/>
      <c r="B646" s="378" t="s">
        <v>1524</v>
      </c>
      <c r="C646" s="379"/>
      <c r="D646" s="380"/>
      <c r="E646" s="380"/>
      <c r="F646" s="380"/>
      <c r="G646" s="380"/>
      <c r="H646" s="380"/>
      <c r="I646" s="380"/>
      <c r="J646" s="380"/>
      <c r="K646" s="381"/>
    </row>
    <row r="647" spans="1:11" ht="15" customHeight="1">
      <c r="A647" s="18"/>
      <c r="B647" s="161" t="s">
        <v>1520</v>
      </c>
      <c r="C647" s="185" t="s">
        <v>9</v>
      </c>
      <c r="D647" s="253">
        <f>972*(100%+20%)</f>
        <v>1166.3999999999999</v>
      </c>
      <c r="E647" s="150" t="s">
        <v>159</v>
      </c>
      <c r="F647" s="150" t="s">
        <v>159</v>
      </c>
      <c r="G647" s="152" t="s">
        <v>159</v>
      </c>
      <c r="H647" s="149" t="s">
        <v>159</v>
      </c>
      <c r="I647" s="150" t="s">
        <v>159</v>
      </c>
      <c r="J647" s="150" t="s">
        <v>159</v>
      </c>
      <c r="K647" s="152" t="s">
        <v>159</v>
      </c>
    </row>
    <row r="648" spans="1:11" ht="15" customHeight="1">
      <c r="A648" s="18"/>
      <c r="B648" s="162" t="s">
        <v>1521</v>
      </c>
      <c r="C648" s="186" t="s">
        <v>9</v>
      </c>
      <c r="D648" s="257">
        <f>1166*(100%+20%)</f>
        <v>1399.2</v>
      </c>
      <c r="E648" s="154" t="s">
        <v>159</v>
      </c>
      <c r="F648" s="154" t="s">
        <v>159</v>
      </c>
      <c r="G648" s="156" t="s">
        <v>159</v>
      </c>
      <c r="H648" s="153" t="s">
        <v>159</v>
      </c>
      <c r="I648" s="154" t="s">
        <v>159</v>
      </c>
      <c r="J648" s="154" t="s">
        <v>159</v>
      </c>
      <c r="K648" s="156" t="s">
        <v>159</v>
      </c>
    </row>
    <row r="649" spans="1:11" ht="15" customHeight="1">
      <c r="A649" s="18"/>
      <c r="B649" s="162" t="s">
        <v>1522</v>
      </c>
      <c r="C649" s="186" t="s">
        <v>9</v>
      </c>
      <c r="D649" s="257">
        <f>1790*(100%+20%)</f>
        <v>2148</v>
      </c>
      <c r="E649" s="154" t="s">
        <v>159</v>
      </c>
      <c r="F649" s="154" t="s">
        <v>159</v>
      </c>
      <c r="G649" s="156" t="s">
        <v>159</v>
      </c>
      <c r="H649" s="153" t="s">
        <v>159</v>
      </c>
      <c r="I649" s="154" t="s">
        <v>159</v>
      </c>
      <c r="J649" s="154" t="s">
        <v>159</v>
      </c>
      <c r="K649" s="156" t="s">
        <v>159</v>
      </c>
    </row>
    <row r="650" spans="1:11" ht="15" customHeight="1" thickBot="1">
      <c r="A650" s="18"/>
      <c r="B650" s="163" t="s">
        <v>1523</v>
      </c>
      <c r="C650" s="187" t="s">
        <v>9</v>
      </c>
      <c r="D650" s="260">
        <f>1790*(100%+20%)</f>
        <v>2148</v>
      </c>
      <c r="E650" s="158" t="s">
        <v>159</v>
      </c>
      <c r="F650" s="158" t="s">
        <v>159</v>
      </c>
      <c r="G650" s="160" t="s">
        <v>159</v>
      </c>
      <c r="H650" s="157" t="s">
        <v>159</v>
      </c>
      <c r="I650" s="158" t="s">
        <v>159</v>
      </c>
      <c r="J650" s="158" t="s">
        <v>159</v>
      </c>
      <c r="K650" s="160" t="s">
        <v>159</v>
      </c>
    </row>
    <row r="651" spans="1:13" ht="21" customHeight="1" thickBot="1">
      <c r="A651" s="86" t="s">
        <v>1237</v>
      </c>
      <c r="B651" s="325" t="s">
        <v>199</v>
      </c>
      <c r="C651" s="326"/>
      <c r="D651" s="352"/>
      <c r="E651" s="352"/>
      <c r="F651" s="352"/>
      <c r="G651" s="352"/>
      <c r="H651" s="352"/>
      <c r="I651" s="352"/>
      <c r="J651" s="352"/>
      <c r="K651" s="365"/>
      <c r="L651" s="69"/>
      <c r="M651" s="44"/>
    </row>
    <row r="652" spans="1:13" ht="15" customHeight="1" thickBot="1">
      <c r="A652" s="27" t="s">
        <v>1238</v>
      </c>
      <c r="B652" s="315" t="s">
        <v>97</v>
      </c>
      <c r="C652" s="336" t="s">
        <v>1379</v>
      </c>
      <c r="D652" s="316" t="s">
        <v>845</v>
      </c>
      <c r="E652" s="317"/>
      <c r="F652" s="317"/>
      <c r="G652" s="318"/>
      <c r="H652" s="316" t="s">
        <v>846</v>
      </c>
      <c r="I652" s="317"/>
      <c r="J652" s="317"/>
      <c r="K652" s="318"/>
      <c r="L652" s="69"/>
      <c r="M652" s="44"/>
    </row>
    <row r="653" spans="1:13" ht="15" customHeight="1" thickBot="1">
      <c r="A653" s="27" t="s">
        <v>1239</v>
      </c>
      <c r="B653" s="315"/>
      <c r="C653" s="313"/>
      <c r="D653" s="106" t="s">
        <v>847</v>
      </c>
      <c r="E653" s="105" t="s">
        <v>4</v>
      </c>
      <c r="F653" s="103" t="s">
        <v>5</v>
      </c>
      <c r="G653" s="105" t="s">
        <v>1420</v>
      </c>
      <c r="H653" s="103" t="s">
        <v>847</v>
      </c>
      <c r="I653" s="105" t="s">
        <v>4</v>
      </c>
      <c r="J653" s="103" t="s">
        <v>5</v>
      </c>
      <c r="K653" s="105" t="s">
        <v>1420</v>
      </c>
      <c r="L653" s="69"/>
      <c r="M653" s="44"/>
    </row>
    <row r="654" spans="1:13" ht="15" customHeight="1">
      <c r="A654" s="81" t="s">
        <v>1240</v>
      </c>
      <c r="B654" s="161" t="s">
        <v>1460</v>
      </c>
      <c r="C654" s="188" t="s">
        <v>30</v>
      </c>
      <c r="D654" s="253">
        <f>358*(100%+20%)</f>
        <v>429.59999999999997</v>
      </c>
      <c r="E654" s="254">
        <f>358*(100%+20%)</f>
        <v>429.59999999999997</v>
      </c>
      <c r="F654" s="255">
        <f>435*(100%+20%)</f>
        <v>522</v>
      </c>
      <c r="G654" s="256">
        <f>435*(100%+20%)</f>
        <v>522</v>
      </c>
      <c r="H654" s="253">
        <f>453*(100%+20%)</f>
        <v>543.6</v>
      </c>
      <c r="I654" s="255">
        <f>453*(100%+20%)</f>
        <v>543.6</v>
      </c>
      <c r="J654" s="255">
        <f>530*(100%+20%)</f>
        <v>636</v>
      </c>
      <c r="K654" s="277">
        <f>530*(100%+20%)</f>
        <v>636</v>
      </c>
      <c r="L654" s="69"/>
      <c r="M654" s="44"/>
    </row>
    <row r="655" spans="1:13" ht="15" customHeight="1">
      <c r="A655" s="81" t="s">
        <v>1241</v>
      </c>
      <c r="B655" s="162" t="s">
        <v>1462</v>
      </c>
      <c r="C655" s="176" t="s">
        <v>30</v>
      </c>
      <c r="D655" s="257">
        <f>389*(100%+20%)</f>
        <v>466.79999999999995</v>
      </c>
      <c r="E655" s="258">
        <f>389*(100%+20%)</f>
        <v>466.79999999999995</v>
      </c>
      <c r="F655" s="258">
        <f>482*(100%+20%)</f>
        <v>578.4</v>
      </c>
      <c r="G655" s="259">
        <f>482*(100%+20%)</f>
        <v>578.4</v>
      </c>
      <c r="H655" s="257">
        <f>546*(100%+20%)</f>
        <v>655.1999999999999</v>
      </c>
      <c r="I655" s="258">
        <f>546*(100%+20%)</f>
        <v>655.1999999999999</v>
      </c>
      <c r="J655" s="258">
        <f>641*(100%+20%)</f>
        <v>769.1999999999999</v>
      </c>
      <c r="K655" s="259">
        <f>641*(100%+20%)</f>
        <v>769.1999999999999</v>
      </c>
      <c r="L655" s="69"/>
      <c r="M655" s="44"/>
    </row>
    <row r="656" spans="1:13" ht="15" customHeight="1">
      <c r="A656" s="81" t="s">
        <v>1242</v>
      </c>
      <c r="B656" s="162" t="s">
        <v>1461</v>
      </c>
      <c r="C656" s="176" t="s">
        <v>30</v>
      </c>
      <c r="D656" s="257">
        <f>541*(100%+20%)</f>
        <v>649.1999999999999</v>
      </c>
      <c r="E656" s="258">
        <f>541*(100%+20%)</f>
        <v>649.1999999999999</v>
      </c>
      <c r="F656" s="258">
        <f>667*(100%+20%)</f>
        <v>800.4</v>
      </c>
      <c r="G656" s="259">
        <f>667*(100%+20%)</f>
        <v>800.4</v>
      </c>
      <c r="H656" s="257">
        <f>732*(100%+20%)</f>
        <v>878.4</v>
      </c>
      <c r="I656" s="258">
        <f>732*(100%+20%)</f>
        <v>878.4</v>
      </c>
      <c r="J656" s="258">
        <f>856*(100%+20%)</f>
        <v>1027.2</v>
      </c>
      <c r="K656" s="259">
        <f>856*(100%+20%)</f>
        <v>1027.2</v>
      </c>
      <c r="L656" s="69"/>
      <c r="M656" s="44"/>
    </row>
    <row r="657" spans="1:13" ht="15" customHeight="1" thickBot="1">
      <c r="A657" s="99" t="s">
        <v>1243</v>
      </c>
      <c r="B657" s="162" t="s">
        <v>1467</v>
      </c>
      <c r="C657" s="176" t="s">
        <v>30</v>
      </c>
      <c r="D657" s="257">
        <f>664*(100%+20%)</f>
        <v>796.8</v>
      </c>
      <c r="E657" s="258">
        <f>664*(100%+20%)</f>
        <v>796.8</v>
      </c>
      <c r="F657" s="258">
        <f>823*(100%+20%)</f>
        <v>987.5999999999999</v>
      </c>
      <c r="G657" s="259">
        <f>823*(100%+20%)</f>
        <v>987.5999999999999</v>
      </c>
      <c r="H657" s="257">
        <f>918*(100%+20%)</f>
        <v>1101.6</v>
      </c>
      <c r="I657" s="258">
        <f>918*(100%+20%)</f>
        <v>1101.6</v>
      </c>
      <c r="J657" s="258">
        <f>1075*(100%+20%)</f>
        <v>1290</v>
      </c>
      <c r="K657" s="259">
        <f>1075*(100%+20%)</f>
        <v>1290</v>
      </c>
      <c r="L657" s="69"/>
      <c r="M657" s="44"/>
    </row>
    <row r="658" spans="1:11" ht="15" customHeight="1">
      <c r="A658" s="31"/>
      <c r="B658" s="162" t="s">
        <v>1463</v>
      </c>
      <c r="C658" s="176" t="s">
        <v>30</v>
      </c>
      <c r="D658" s="257">
        <f>786*(100%+20%)</f>
        <v>943.1999999999999</v>
      </c>
      <c r="E658" s="258">
        <f>786*(100%+20%)</f>
        <v>943.1999999999999</v>
      </c>
      <c r="F658" s="258">
        <f>975*(100%+20%)</f>
        <v>1170</v>
      </c>
      <c r="G658" s="259">
        <f>975*(100%+20%)</f>
        <v>1170</v>
      </c>
      <c r="H658" s="257">
        <f>1102*(100%+20%)</f>
        <v>1322.3999999999999</v>
      </c>
      <c r="I658" s="258">
        <f>1102*(100%+20%)</f>
        <v>1322.3999999999999</v>
      </c>
      <c r="J658" s="258">
        <f>1292*(100%+20%)</f>
        <v>1550.3999999999999</v>
      </c>
      <c r="K658" s="259">
        <f>1292*(100%+20%)</f>
        <v>1550.3999999999999</v>
      </c>
    </row>
    <row r="659" spans="1:11" ht="15" customHeight="1">
      <c r="A659" s="31"/>
      <c r="B659" s="162" t="s">
        <v>1464</v>
      </c>
      <c r="C659" s="176" t="s">
        <v>30</v>
      </c>
      <c r="D659" s="257">
        <f>883*(100%+20%)</f>
        <v>1059.6</v>
      </c>
      <c r="E659" s="258">
        <f>883*(100%+20%)</f>
        <v>1059.6</v>
      </c>
      <c r="F659" s="258">
        <f>1098*(100%+20%)</f>
        <v>1317.6</v>
      </c>
      <c r="G659" s="259">
        <f>1098*(100%+20%)</f>
        <v>1317.6</v>
      </c>
      <c r="H659" s="257">
        <f>1250*(100%+20%)</f>
        <v>1500</v>
      </c>
      <c r="I659" s="258">
        <f>1250*(100%+20%)</f>
        <v>1500</v>
      </c>
      <c r="J659" s="258">
        <f>1465*(100%+20%)</f>
        <v>1758</v>
      </c>
      <c r="K659" s="259">
        <f>1465*(100%+20%)</f>
        <v>1758</v>
      </c>
    </row>
    <row r="660" spans="1:11" ht="15" customHeight="1" thickBot="1">
      <c r="A660" s="31"/>
      <c r="B660" s="162" t="s">
        <v>1465</v>
      </c>
      <c r="C660" s="176" t="s">
        <v>30</v>
      </c>
      <c r="D660" s="257">
        <f>1066*(100%+20%)</f>
        <v>1279.2</v>
      </c>
      <c r="E660" s="258">
        <f>1066*(100%+20%)</f>
        <v>1279.2</v>
      </c>
      <c r="F660" s="258">
        <f>1330*(100%+20%)</f>
        <v>1596</v>
      </c>
      <c r="G660" s="259">
        <f>1330*(100%+20%)</f>
        <v>1596</v>
      </c>
      <c r="H660" s="257">
        <f>1528*(100%+20%)</f>
        <v>1833.6</v>
      </c>
      <c r="I660" s="258">
        <f>1528*(100%+20%)</f>
        <v>1833.6</v>
      </c>
      <c r="J660" s="258">
        <f>1791*(100%+20%)</f>
        <v>2149.2</v>
      </c>
      <c r="K660" s="259">
        <f>1791*(100%+20%)</f>
        <v>2149.2</v>
      </c>
    </row>
    <row r="661" spans="1:13" ht="15" customHeight="1">
      <c r="A661" s="86" t="s">
        <v>1244</v>
      </c>
      <c r="B661" s="162" t="s">
        <v>1466</v>
      </c>
      <c r="C661" s="176" t="s">
        <v>30</v>
      </c>
      <c r="D661" s="257">
        <f>1256*(100%+20%)</f>
        <v>1507.2</v>
      </c>
      <c r="E661" s="258">
        <f>1256*(100%+20%)</f>
        <v>1507.2</v>
      </c>
      <c r="F661" s="258">
        <f>1568*(100%+20%)</f>
        <v>1881.6</v>
      </c>
      <c r="G661" s="259">
        <f>1568*(100%+20%)</f>
        <v>1881.6</v>
      </c>
      <c r="H661" s="257">
        <f>1815*(100%+20%)</f>
        <v>2178</v>
      </c>
      <c r="I661" s="258">
        <f>1815*(100%+20%)</f>
        <v>2178</v>
      </c>
      <c r="J661" s="258">
        <f>2128*(100%+20%)</f>
        <v>2553.6</v>
      </c>
      <c r="K661" s="259">
        <f>2128*(100%+20%)</f>
        <v>2553.6</v>
      </c>
      <c r="L661" s="69"/>
      <c r="M661" s="44"/>
    </row>
    <row r="662" spans="1:13" ht="15" customHeight="1">
      <c r="A662" s="81" t="s">
        <v>1245</v>
      </c>
      <c r="B662" s="162" t="s">
        <v>1468</v>
      </c>
      <c r="C662" s="176" t="s">
        <v>30</v>
      </c>
      <c r="D662" s="257">
        <f>551*(100%+20%)</f>
        <v>661.1999999999999</v>
      </c>
      <c r="E662" s="258">
        <f>551*(100%+20%)</f>
        <v>661.1999999999999</v>
      </c>
      <c r="F662" s="258">
        <f>679*(100%+20%)</f>
        <v>814.8</v>
      </c>
      <c r="G662" s="259">
        <f>679*(100%+20%)</f>
        <v>814.8</v>
      </c>
      <c r="H662" s="257">
        <f>740*(100%+20%)</f>
        <v>888</v>
      </c>
      <c r="I662" s="258">
        <f>740*(100%+20%)</f>
        <v>888</v>
      </c>
      <c r="J662" s="258">
        <f>868*(100%+20%)</f>
        <v>1041.6</v>
      </c>
      <c r="K662" s="259">
        <f>868*(100%+20%)</f>
        <v>1041.6</v>
      </c>
      <c r="L662" s="69"/>
      <c r="M662" s="44"/>
    </row>
    <row r="663" spans="1:13" ht="15" customHeight="1">
      <c r="A663" s="81" t="s">
        <v>1246</v>
      </c>
      <c r="B663" s="162" t="s">
        <v>1470</v>
      </c>
      <c r="C663" s="176" t="s">
        <v>30</v>
      </c>
      <c r="D663" s="257">
        <f>802*(100%+20%)</f>
        <v>962.4</v>
      </c>
      <c r="E663" s="258">
        <f>802*(100%+20%)</f>
        <v>962.4</v>
      </c>
      <c r="F663" s="258">
        <f>995*(100%+20%)</f>
        <v>1194</v>
      </c>
      <c r="G663" s="259">
        <f>995*(100%+20%)</f>
        <v>1194</v>
      </c>
      <c r="H663" s="257">
        <f>1118*(100%+20%)</f>
        <v>1341.6</v>
      </c>
      <c r="I663" s="258">
        <f>1118*(100%+20%)</f>
        <v>1341.6</v>
      </c>
      <c r="J663" s="258">
        <f>1311*(100%+20%)</f>
        <v>1573.2</v>
      </c>
      <c r="K663" s="259">
        <f>1311*(100%+20%)</f>
        <v>1573.2</v>
      </c>
      <c r="L663" s="69"/>
      <c r="M663" s="44"/>
    </row>
    <row r="664" spans="1:13" ht="15" customHeight="1">
      <c r="A664" s="81" t="s">
        <v>1247</v>
      </c>
      <c r="B664" s="162" t="s">
        <v>1469</v>
      </c>
      <c r="C664" s="176" t="s">
        <v>30</v>
      </c>
      <c r="D664" s="257">
        <f>1091*(100%+20%)</f>
        <v>1309.2</v>
      </c>
      <c r="E664" s="258">
        <f>1091*(100%+20%)</f>
        <v>1309.2</v>
      </c>
      <c r="F664" s="258">
        <f>1358*(100%+20%)</f>
        <v>1629.6</v>
      </c>
      <c r="G664" s="259">
        <f>1358*(100%+20%)</f>
        <v>1629.6</v>
      </c>
      <c r="H664" s="257">
        <f>1552*(100%+20%)</f>
        <v>1862.3999999999999</v>
      </c>
      <c r="I664" s="258">
        <f>1552*(100%+20%)</f>
        <v>1862.3999999999999</v>
      </c>
      <c r="J664" s="258">
        <f>1819*(100%+20%)</f>
        <v>2182.7999999999997</v>
      </c>
      <c r="K664" s="259">
        <f>1819*(100%+20%)</f>
        <v>2182.7999999999997</v>
      </c>
      <c r="L664" s="69"/>
      <c r="M664" s="44"/>
    </row>
    <row r="665" spans="1:13" ht="15" customHeight="1">
      <c r="A665" s="101"/>
      <c r="B665" s="162" t="s">
        <v>1525</v>
      </c>
      <c r="C665" s="177" t="s">
        <v>30</v>
      </c>
      <c r="D665" s="257">
        <f>358*(100%+20%)</f>
        <v>429.59999999999997</v>
      </c>
      <c r="E665" s="258">
        <f>358*(100%+20%)</f>
        <v>429.59999999999997</v>
      </c>
      <c r="F665" s="258">
        <f>435*(100%+20%)</f>
        <v>522</v>
      </c>
      <c r="G665" s="259">
        <f>435*(100%+20%)</f>
        <v>522</v>
      </c>
      <c r="H665" s="257">
        <f>453*(100%+20%)</f>
        <v>543.6</v>
      </c>
      <c r="I665" s="258">
        <f>453*(100%+20%)</f>
        <v>543.6</v>
      </c>
      <c r="J665" s="258">
        <f>530*(100%+20%)</f>
        <v>636</v>
      </c>
      <c r="K665" s="259">
        <f>530*(100%+20%)</f>
        <v>636</v>
      </c>
      <c r="L665" s="69"/>
      <c r="M665" s="44"/>
    </row>
    <row r="666" spans="1:13" ht="15" customHeight="1">
      <c r="A666" s="101"/>
      <c r="B666" s="162" t="s">
        <v>1526</v>
      </c>
      <c r="C666" s="177" t="s">
        <v>30</v>
      </c>
      <c r="D666" s="257">
        <f>389*(100%+20%)</f>
        <v>466.79999999999995</v>
      </c>
      <c r="E666" s="258">
        <f>389*(100%+20%)</f>
        <v>466.79999999999995</v>
      </c>
      <c r="F666" s="258">
        <f>482*(100%+20%)</f>
        <v>578.4</v>
      </c>
      <c r="G666" s="259">
        <f>482*(100%+20%)</f>
        <v>578.4</v>
      </c>
      <c r="H666" s="257">
        <f>546*(100%+20%)</f>
        <v>655.1999999999999</v>
      </c>
      <c r="I666" s="258">
        <f>546*(100%+20%)</f>
        <v>655.1999999999999</v>
      </c>
      <c r="J666" s="258">
        <f>641*(100%+20%)</f>
        <v>769.1999999999999</v>
      </c>
      <c r="K666" s="259">
        <f>641*(100%+20%)</f>
        <v>769.1999999999999</v>
      </c>
      <c r="L666" s="69"/>
      <c r="M666" s="44"/>
    </row>
    <row r="667" spans="1:13" ht="15" customHeight="1">
      <c r="A667" s="101"/>
      <c r="B667" s="162" t="s">
        <v>1527</v>
      </c>
      <c r="C667" s="177" t="s">
        <v>30</v>
      </c>
      <c r="D667" s="257">
        <f>541*(100%+20%)</f>
        <v>649.1999999999999</v>
      </c>
      <c r="E667" s="258">
        <f>541*(100%+20%)</f>
        <v>649.1999999999999</v>
      </c>
      <c r="F667" s="258">
        <f>667*(100%+20%)</f>
        <v>800.4</v>
      </c>
      <c r="G667" s="259">
        <f>667*(100%+20%)</f>
        <v>800.4</v>
      </c>
      <c r="H667" s="257">
        <f>732*(100%+20%)</f>
        <v>878.4</v>
      </c>
      <c r="I667" s="258">
        <f>732*(100%+20%)</f>
        <v>878.4</v>
      </c>
      <c r="J667" s="258">
        <f>856*(100%+20%)</f>
        <v>1027.2</v>
      </c>
      <c r="K667" s="259">
        <f>856*(100%+20%)</f>
        <v>1027.2</v>
      </c>
      <c r="L667" s="69"/>
      <c r="M667" s="44"/>
    </row>
    <row r="668" spans="1:13" ht="15" customHeight="1">
      <c r="A668" s="101"/>
      <c r="B668" s="162" t="s">
        <v>1528</v>
      </c>
      <c r="C668" s="177" t="s">
        <v>30</v>
      </c>
      <c r="D668" s="257">
        <f>664*(100%+20%)</f>
        <v>796.8</v>
      </c>
      <c r="E668" s="258">
        <f>664*(100%+20%)</f>
        <v>796.8</v>
      </c>
      <c r="F668" s="258">
        <f>823*(100%+20%)</f>
        <v>987.5999999999999</v>
      </c>
      <c r="G668" s="259">
        <f>823*(100%+20%)</f>
        <v>987.5999999999999</v>
      </c>
      <c r="H668" s="257">
        <f>918*(100%+20%)</f>
        <v>1101.6</v>
      </c>
      <c r="I668" s="258">
        <f>918*(100%+20%)</f>
        <v>1101.6</v>
      </c>
      <c r="J668" s="258">
        <f>1075*(100%+20%)</f>
        <v>1290</v>
      </c>
      <c r="K668" s="259">
        <f>1075*(100%+20%)</f>
        <v>1290</v>
      </c>
      <c r="L668" s="69"/>
      <c r="M668" s="44"/>
    </row>
    <row r="669" spans="1:13" ht="15" customHeight="1">
      <c r="A669" s="101"/>
      <c r="B669" s="162" t="s">
        <v>1529</v>
      </c>
      <c r="C669" s="177" t="s">
        <v>30</v>
      </c>
      <c r="D669" s="257">
        <f>786*(100%+20%)</f>
        <v>943.1999999999999</v>
      </c>
      <c r="E669" s="258">
        <f>786*(100%+20%)</f>
        <v>943.1999999999999</v>
      </c>
      <c r="F669" s="258">
        <f>975*(100%+20%)</f>
        <v>1170</v>
      </c>
      <c r="G669" s="259">
        <f>975*(100%+20%)</f>
        <v>1170</v>
      </c>
      <c r="H669" s="257">
        <f>1102*(100%+20%)</f>
        <v>1322.3999999999999</v>
      </c>
      <c r="I669" s="258">
        <f>1102*(100%+20%)</f>
        <v>1322.3999999999999</v>
      </c>
      <c r="J669" s="258">
        <f>1292*(100%+20%)</f>
        <v>1550.3999999999999</v>
      </c>
      <c r="K669" s="259">
        <f>1292*(100%+20%)</f>
        <v>1550.3999999999999</v>
      </c>
      <c r="L669" s="69"/>
      <c r="M669" s="44"/>
    </row>
    <row r="670" spans="1:13" ht="15" customHeight="1">
      <c r="A670" s="101"/>
      <c r="B670" s="165" t="s">
        <v>1530</v>
      </c>
      <c r="C670" s="177" t="s">
        <v>30</v>
      </c>
      <c r="D670" s="257">
        <f>883*(100%+20%)</f>
        <v>1059.6</v>
      </c>
      <c r="E670" s="258">
        <f>883*(100%+20%)</f>
        <v>1059.6</v>
      </c>
      <c r="F670" s="258">
        <f>1098*(100%+20%)</f>
        <v>1317.6</v>
      </c>
      <c r="G670" s="259">
        <f>1098*(100%+20%)</f>
        <v>1317.6</v>
      </c>
      <c r="H670" s="257">
        <f>1250*(100%+20%)</f>
        <v>1500</v>
      </c>
      <c r="I670" s="258">
        <f>1250*(100%+20%)</f>
        <v>1500</v>
      </c>
      <c r="J670" s="258">
        <f>1465*(100%+20%)</f>
        <v>1758</v>
      </c>
      <c r="K670" s="259">
        <f>1465*(100%+20%)</f>
        <v>1758</v>
      </c>
      <c r="L670" s="69"/>
      <c r="M670" s="44"/>
    </row>
    <row r="671" spans="1:13" ht="15" customHeight="1">
      <c r="A671" s="101"/>
      <c r="B671" s="162" t="s">
        <v>1531</v>
      </c>
      <c r="C671" s="177" t="s">
        <v>30</v>
      </c>
      <c r="D671" s="257">
        <f>1066*(100%+20%)</f>
        <v>1279.2</v>
      </c>
      <c r="E671" s="258">
        <f>1066*(100%+20%)</f>
        <v>1279.2</v>
      </c>
      <c r="F671" s="258">
        <f>1330*(100%+20%)</f>
        <v>1596</v>
      </c>
      <c r="G671" s="259">
        <f>1330*(100%+20%)</f>
        <v>1596</v>
      </c>
      <c r="H671" s="257">
        <f>1528*(100%+20%)</f>
        <v>1833.6</v>
      </c>
      <c r="I671" s="258">
        <f>1528*(100%+20%)</f>
        <v>1833.6</v>
      </c>
      <c r="J671" s="258">
        <f>1791*(100%+20%)</f>
        <v>2149.2</v>
      </c>
      <c r="K671" s="259">
        <f>1791*(100%+20%)</f>
        <v>2149.2</v>
      </c>
      <c r="L671" s="69"/>
      <c r="M671" s="44"/>
    </row>
    <row r="672" spans="1:13" ht="15" customHeight="1">
      <c r="A672" s="101"/>
      <c r="B672" s="162" t="s">
        <v>1532</v>
      </c>
      <c r="C672" s="177" t="s">
        <v>30</v>
      </c>
      <c r="D672" s="257">
        <f>1256*(100%+20%)</f>
        <v>1507.2</v>
      </c>
      <c r="E672" s="258">
        <f>1256*(100%+20%)</f>
        <v>1507.2</v>
      </c>
      <c r="F672" s="258">
        <f>1568*(100%+20%)</f>
        <v>1881.6</v>
      </c>
      <c r="G672" s="259">
        <f>1568*(100%+20%)</f>
        <v>1881.6</v>
      </c>
      <c r="H672" s="257">
        <f>1815*(100%+20%)</f>
        <v>2178</v>
      </c>
      <c r="I672" s="258">
        <f>1815*(100%+20%)</f>
        <v>2178</v>
      </c>
      <c r="J672" s="258">
        <f>2128*(100%+20%)</f>
        <v>2553.6</v>
      </c>
      <c r="K672" s="259">
        <f>2128*(100%+20%)</f>
        <v>2553.6</v>
      </c>
      <c r="L672" s="69"/>
      <c r="M672" s="44"/>
    </row>
    <row r="673" spans="1:13" ht="15" customHeight="1">
      <c r="A673" s="101" t="s">
        <v>1248</v>
      </c>
      <c r="B673" s="162" t="s">
        <v>1471</v>
      </c>
      <c r="C673" s="176" t="s">
        <v>30</v>
      </c>
      <c r="D673" s="257">
        <f>541*(100%+20%)</f>
        <v>649.1999999999999</v>
      </c>
      <c r="E673" s="258">
        <f>541*(100%+20%)</f>
        <v>649.1999999999999</v>
      </c>
      <c r="F673" s="258">
        <f>667*(100%+20%)</f>
        <v>800.4</v>
      </c>
      <c r="G673" s="259">
        <f>667*(100%+20%)</f>
        <v>800.4</v>
      </c>
      <c r="H673" s="257">
        <f>732*(100%+20%)</f>
        <v>878.4</v>
      </c>
      <c r="I673" s="258">
        <f>732*(100%+20%)</f>
        <v>878.4</v>
      </c>
      <c r="J673" s="258">
        <f>856*(100%+20%)</f>
        <v>1027.2</v>
      </c>
      <c r="K673" s="259">
        <f>856*(100%+20%)</f>
        <v>1027.2</v>
      </c>
      <c r="L673" s="69"/>
      <c r="M673" s="44"/>
    </row>
    <row r="674" spans="1:13" ht="15" customHeight="1" thickBot="1">
      <c r="A674" s="167" t="s">
        <v>1249</v>
      </c>
      <c r="B674" s="162" t="s">
        <v>1473</v>
      </c>
      <c r="C674" s="176" t="s">
        <v>30</v>
      </c>
      <c r="D674" s="257">
        <f>664*(100%+20%)</f>
        <v>796.8</v>
      </c>
      <c r="E674" s="258">
        <f>664*(100%+20%)</f>
        <v>796.8</v>
      </c>
      <c r="F674" s="258">
        <f>823*(100%+20%)</f>
        <v>987.5999999999999</v>
      </c>
      <c r="G674" s="259">
        <f>823*(100%+20%)</f>
        <v>987.5999999999999</v>
      </c>
      <c r="H674" s="257">
        <f>918*(100%+20%)</f>
        <v>1101.6</v>
      </c>
      <c r="I674" s="258">
        <f>918*(100%+20%)</f>
        <v>1101.6</v>
      </c>
      <c r="J674" s="258">
        <f>1075*(100%+20%)</f>
        <v>1290</v>
      </c>
      <c r="K674" s="259">
        <f>1075*(100%+20%)</f>
        <v>1290</v>
      </c>
      <c r="L674" s="69"/>
      <c r="M674" s="44"/>
    </row>
    <row r="675" spans="1:11" ht="15" customHeight="1">
      <c r="A675" s="31"/>
      <c r="B675" s="162" t="s">
        <v>1472</v>
      </c>
      <c r="C675" s="176" t="s">
        <v>30</v>
      </c>
      <c r="D675" s="257">
        <f>786*(100%+20%)</f>
        <v>943.1999999999999</v>
      </c>
      <c r="E675" s="258">
        <f>786*(100%+20%)</f>
        <v>943.1999999999999</v>
      </c>
      <c r="F675" s="258">
        <f>975*(100%+20%)</f>
        <v>1170</v>
      </c>
      <c r="G675" s="259">
        <f>975*(100%+20%)</f>
        <v>1170</v>
      </c>
      <c r="H675" s="257">
        <f>1102*(100%+20%)</f>
        <v>1322.3999999999999</v>
      </c>
      <c r="I675" s="258">
        <f>1102*(100%+20%)</f>
        <v>1322.3999999999999</v>
      </c>
      <c r="J675" s="258">
        <f>1292*(100%+20%)</f>
        <v>1550.3999999999999</v>
      </c>
      <c r="K675" s="259">
        <f>1292*(100%+20%)</f>
        <v>1550.3999999999999</v>
      </c>
    </row>
    <row r="676" spans="1:11" ht="15" customHeight="1">
      <c r="A676" s="31"/>
      <c r="B676" s="162" t="s">
        <v>1474</v>
      </c>
      <c r="C676" s="176" t="s">
        <v>30</v>
      </c>
      <c r="D676" s="257">
        <f>883*(100%+20%)</f>
        <v>1059.6</v>
      </c>
      <c r="E676" s="258">
        <f>883*(100%+20%)</f>
        <v>1059.6</v>
      </c>
      <c r="F676" s="258">
        <f>1098*(100%+20%)</f>
        <v>1317.6</v>
      </c>
      <c r="G676" s="259">
        <f>1098*(100%+20%)</f>
        <v>1317.6</v>
      </c>
      <c r="H676" s="257">
        <f>1250*(100%+20%)</f>
        <v>1500</v>
      </c>
      <c r="I676" s="258">
        <f>1250*(100%+20%)</f>
        <v>1500</v>
      </c>
      <c r="J676" s="258">
        <f>1465*(100%+20%)</f>
        <v>1758</v>
      </c>
      <c r="K676" s="259">
        <f>1465*(100%+20%)</f>
        <v>1758</v>
      </c>
    </row>
    <row r="677" spans="1:11" ht="15" customHeight="1" thickBot="1">
      <c r="A677" s="31"/>
      <c r="B677" s="162" t="s">
        <v>1475</v>
      </c>
      <c r="C677" s="176" t="s">
        <v>30</v>
      </c>
      <c r="D677" s="257">
        <f>1066*(100%+20%)</f>
        <v>1279.2</v>
      </c>
      <c r="E677" s="258">
        <f>1066*(100%+20%)</f>
        <v>1279.2</v>
      </c>
      <c r="F677" s="258">
        <f>1330*(100%+20%)</f>
        <v>1596</v>
      </c>
      <c r="G677" s="259">
        <f>1330*(100%+20%)</f>
        <v>1596</v>
      </c>
      <c r="H677" s="257">
        <f>1528*(100%+20%)</f>
        <v>1833.6</v>
      </c>
      <c r="I677" s="258">
        <f>1528*(100%+20%)</f>
        <v>1833.6</v>
      </c>
      <c r="J677" s="258">
        <f>1791*(100%+20%)</f>
        <v>2149.2</v>
      </c>
      <c r="K677" s="259">
        <f>1791*(100%+20%)</f>
        <v>2149.2</v>
      </c>
    </row>
    <row r="678" spans="1:13" ht="15" customHeight="1">
      <c r="A678" s="86" t="s">
        <v>1250</v>
      </c>
      <c r="B678" s="162" t="s">
        <v>1476</v>
      </c>
      <c r="C678" s="176" t="s">
        <v>30</v>
      </c>
      <c r="D678" s="257">
        <f>1256*(100%+20%)</f>
        <v>1507.2</v>
      </c>
      <c r="E678" s="258">
        <f>1256*(100%+20%)</f>
        <v>1507.2</v>
      </c>
      <c r="F678" s="258">
        <f>1568*(100%+20%)</f>
        <v>1881.6</v>
      </c>
      <c r="G678" s="259">
        <f>1568*(100%+20%)</f>
        <v>1881.6</v>
      </c>
      <c r="H678" s="257">
        <f>1815*(100%+20%)</f>
        <v>2178</v>
      </c>
      <c r="I678" s="258">
        <f>1815*(100%+20%)</f>
        <v>2178</v>
      </c>
      <c r="J678" s="258">
        <f>2128*(100%+20%)</f>
        <v>2553.6</v>
      </c>
      <c r="K678" s="259">
        <f>2128*(100%+20%)</f>
        <v>2553.6</v>
      </c>
      <c r="L678" s="69"/>
      <c r="M678" s="44"/>
    </row>
    <row r="679" spans="1:13" ht="15" customHeight="1">
      <c r="A679" s="81" t="s">
        <v>1251</v>
      </c>
      <c r="B679" s="162" t="s">
        <v>1477</v>
      </c>
      <c r="C679" s="186" t="s">
        <v>30</v>
      </c>
      <c r="D679" s="257">
        <f>551*(100%+20%)</f>
        <v>661.1999999999999</v>
      </c>
      <c r="E679" s="258">
        <f>551*(100%+20%)</f>
        <v>661.1999999999999</v>
      </c>
      <c r="F679" s="258">
        <f>679*(100%+20%)</f>
        <v>814.8</v>
      </c>
      <c r="G679" s="259">
        <f>679*(100%+20%)</f>
        <v>814.8</v>
      </c>
      <c r="H679" s="257">
        <f>740*(100%+20%)</f>
        <v>888</v>
      </c>
      <c r="I679" s="258">
        <f>740*(100%+20%)</f>
        <v>888</v>
      </c>
      <c r="J679" s="258">
        <f>868*(100%+20%)</f>
        <v>1041.6</v>
      </c>
      <c r="K679" s="259">
        <f>868*(100%+20%)</f>
        <v>1041.6</v>
      </c>
      <c r="L679" s="69"/>
      <c r="M679" s="44"/>
    </row>
    <row r="680" spans="1:13" ht="15" customHeight="1">
      <c r="A680" s="81" t="s">
        <v>1252</v>
      </c>
      <c r="B680" s="162" t="s">
        <v>1478</v>
      </c>
      <c r="C680" s="176" t="s">
        <v>30</v>
      </c>
      <c r="D680" s="257">
        <f>802*(100%+20%)</f>
        <v>962.4</v>
      </c>
      <c r="E680" s="258">
        <f>802*(100%+20%)</f>
        <v>962.4</v>
      </c>
      <c r="F680" s="258">
        <f>995*(100%+20%)</f>
        <v>1194</v>
      </c>
      <c r="G680" s="259">
        <f>995*(100%+20%)</f>
        <v>1194</v>
      </c>
      <c r="H680" s="257">
        <f>1118*(100%+20%)</f>
        <v>1341.6</v>
      </c>
      <c r="I680" s="258">
        <f>1118*(100%+20%)</f>
        <v>1341.6</v>
      </c>
      <c r="J680" s="258">
        <f>1311*(100%+20%)</f>
        <v>1573.2</v>
      </c>
      <c r="K680" s="259">
        <f>1311*(100%+20%)</f>
        <v>1573.2</v>
      </c>
      <c r="L680" s="69"/>
      <c r="M680" s="44"/>
    </row>
    <row r="681" spans="1:13" ht="15" customHeight="1">
      <c r="A681" s="81" t="s">
        <v>1253</v>
      </c>
      <c r="B681" s="162" t="s">
        <v>1479</v>
      </c>
      <c r="C681" s="176" t="s">
        <v>30</v>
      </c>
      <c r="D681" s="257">
        <f>1091*(100%+20%)</f>
        <v>1309.2</v>
      </c>
      <c r="E681" s="258">
        <f>1091*(100%+20%)</f>
        <v>1309.2</v>
      </c>
      <c r="F681" s="258">
        <f>1358*(100%+20%)</f>
        <v>1629.6</v>
      </c>
      <c r="G681" s="259">
        <f>1358*(100%+20%)</f>
        <v>1629.6</v>
      </c>
      <c r="H681" s="257">
        <f>1552*(100%+20%)</f>
        <v>1862.3999999999999</v>
      </c>
      <c r="I681" s="258">
        <f>1552*(100%+20%)</f>
        <v>1862.3999999999999</v>
      </c>
      <c r="J681" s="258">
        <f>1819*(100%+20%)</f>
        <v>2182.7999999999997</v>
      </c>
      <c r="K681" s="259">
        <f>1819*(100%+20%)</f>
        <v>2182.7999999999997</v>
      </c>
      <c r="L681" s="69"/>
      <c r="M681" s="44"/>
    </row>
    <row r="682" spans="1:13" ht="15" customHeight="1">
      <c r="A682" s="81" t="s">
        <v>1254</v>
      </c>
      <c r="B682" s="162" t="s">
        <v>824</v>
      </c>
      <c r="C682" s="176" t="s">
        <v>30</v>
      </c>
      <c r="D682" s="257">
        <f>358*(100%+20%)</f>
        <v>429.59999999999997</v>
      </c>
      <c r="E682" s="258">
        <f>358*(100%+20%)</f>
        <v>429.59999999999997</v>
      </c>
      <c r="F682" s="258">
        <f>435*(100%+20%)</f>
        <v>522</v>
      </c>
      <c r="G682" s="259">
        <f>435*(100%+20%)</f>
        <v>522</v>
      </c>
      <c r="H682" s="257">
        <f>453*(100%+20%)</f>
        <v>543.6</v>
      </c>
      <c r="I682" s="258">
        <f>453*(100%+20%)</f>
        <v>543.6</v>
      </c>
      <c r="J682" s="258">
        <f>530*(100%+20%)</f>
        <v>636</v>
      </c>
      <c r="K682" s="259">
        <f>530*(100%+20%)</f>
        <v>636</v>
      </c>
      <c r="L682" s="69"/>
      <c r="M682" s="44"/>
    </row>
    <row r="683" spans="1:13" ht="15" customHeight="1" thickBot="1">
      <c r="A683" s="82" t="s">
        <v>1255</v>
      </c>
      <c r="B683" s="162" t="s">
        <v>1393</v>
      </c>
      <c r="C683" s="176" t="s">
        <v>30</v>
      </c>
      <c r="D683" s="257">
        <f>389*(100%+20%)</f>
        <v>466.79999999999995</v>
      </c>
      <c r="E683" s="258">
        <f>389*(100%+20%)</f>
        <v>466.79999999999995</v>
      </c>
      <c r="F683" s="258">
        <f>482*(100%+20%)</f>
        <v>578.4</v>
      </c>
      <c r="G683" s="259">
        <f>482*(100%+20%)</f>
        <v>578.4</v>
      </c>
      <c r="H683" s="257">
        <f>546*(100%+20%)</f>
        <v>655.1999999999999</v>
      </c>
      <c r="I683" s="258">
        <f>546*(100%+20%)</f>
        <v>655.1999999999999</v>
      </c>
      <c r="J683" s="258">
        <f>641*(100%+20%)</f>
        <v>769.1999999999999</v>
      </c>
      <c r="K683" s="259">
        <f>641*(100%+20%)</f>
        <v>769.1999999999999</v>
      </c>
      <c r="L683" s="69"/>
      <c r="M683" s="44"/>
    </row>
    <row r="684" spans="1:11" ht="15" customHeight="1">
      <c r="A684" s="31"/>
      <c r="B684" s="162" t="s">
        <v>825</v>
      </c>
      <c r="C684" s="176" t="s">
        <v>30</v>
      </c>
      <c r="D684" s="257">
        <f>541*(100%+20%)</f>
        <v>649.1999999999999</v>
      </c>
      <c r="E684" s="258">
        <f>541*(100%+20%)</f>
        <v>649.1999999999999</v>
      </c>
      <c r="F684" s="258">
        <f>667*(100%+20%)</f>
        <v>800.4</v>
      </c>
      <c r="G684" s="259">
        <f>667*(100%+20%)</f>
        <v>800.4</v>
      </c>
      <c r="H684" s="257">
        <f>732*(100%+20%)</f>
        <v>878.4</v>
      </c>
      <c r="I684" s="258">
        <f>732*(100%+20%)</f>
        <v>878.4</v>
      </c>
      <c r="J684" s="258">
        <f>856*(100%+20%)</f>
        <v>1027.2</v>
      </c>
      <c r="K684" s="259">
        <f>856*(100%+20%)</f>
        <v>1027.2</v>
      </c>
    </row>
    <row r="685" spans="1:11" ht="15" customHeight="1">
      <c r="A685" s="31"/>
      <c r="B685" s="162" t="s">
        <v>826</v>
      </c>
      <c r="C685" s="176" t="s">
        <v>30</v>
      </c>
      <c r="D685" s="257">
        <f>664*(100%+20%)</f>
        <v>796.8</v>
      </c>
      <c r="E685" s="258">
        <f>664*(100%+20%)</f>
        <v>796.8</v>
      </c>
      <c r="F685" s="258">
        <f>823*(100%+20%)</f>
        <v>987.5999999999999</v>
      </c>
      <c r="G685" s="259">
        <f>823*(100%+20%)</f>
        <v>987.5999999999999</v>
      </c>
      <c r="H685" s="257">
        <f>918*(100%+20%)</f>
        <v>1101.6</v>
      </c>
      <c r="I685" s="258">
        <f>918*(100%+20%)</f>
        <v>1101.6</v>
      </c>
      <c r="J685" s="258">
        <f>1075*(100%+20%)</f>
        <v>1290</v>
      </c>
      <c r="K685" s="259">
        <f>1075*(100%+20%)</f>
        <v>1290</v>
      </c>
    </row>
    <row r="686" spans="1:11" ht="15" customHeight="1" thickBot="1">
      <c r="A686" s="31"/>
      <c r="B686" s="162" t="s">
        <v>827</v>
      </c>
      <c r="C686" s="186" t="s">
        <v>30</v>
      </c>
      <c r="D686" s="257">
        <f>786*(100%+20%)</f>
        <v>943.1999999999999</v>
      </c>
      <c r="E686" s="258">
        <f>786*(100%+20%)</f>
        <v>943.1999999999999</v>
      </c>
      <c r="F686" s="258">
        <f>975*(100%+20%)</f>
        <v>1170</v>
      </c>
      <c r="G686" s="259">
        <f>975*(100%+20%)</f>
        <v>1170</v>
      </c>
      <c r="H686" s="257">
        <f>1102*(100%+20%)</f>
        <v>1322.3999999999999</v>
      </c>
      <c r="I686" s="258">
        <f>1102*(100%+20%)</f>
        <v>1322.3999999999999</v>
      </c>
      <c r="J686" s="258">
        <f>1292*(100%+20%)</f>
        <v>1550.3999999999999</v>
      </c>
      <c r="K686" s="259">
        <f>1292*(100%+20%)</f>
        <v>1550.3999999999999</v>
      </c>
    </row>
    <row r="687" spans="1:13" ht="15" customHeight="1">
      <c r="A687" s="86" t="s">
        <v>1256</v>
      </c>
      <c r="B687" s="162" t="s">
        <v>828</v>
      </c>
      <c r="C687" s="176" t="s">
        <v>30</v>
      </c>
      <c r="D687" s="257">
        <f>883*(100%+20%)</f>
        <v>1059.6</v>
      </c>
      <c r="E687" s="258">
        <f>883*(100%+20%)</f>
        <v>1059.6</v>
      </c>
      <c r="F687" s="258">
        <f>1098*(100%+20%)</f>
        <v>1317.6</v>
      </c>
      <c r="G687" s="259">
        <f>1098*(100%+20%)</f>
        <v>1317.6</v>
      </c>
      <c r="H687" s="257">
        <f>1250*(100%+20%)</f>
        <v>1500</v>
      </c>
      <c r="I687" s="258">
        <f>1250*(100%+20%)</f>
        <v>1500</v>
      </c>
      <c r="J687" s="258">
        <f>1465*(100%+20%)</f>
        <v>1758</v>
      </c>
      <c r="K687" s="259">
        <f>1465*(100%+20%)</f>
        <v>1758</v>
      </c>
      <c r="L687" s="69"/>
      <c r="M687" s="44"/>
    </row>
    <row r="688" spans="1:13" ht="15" customHeight="1">
      <c r="A688" s="81" t="s">
        <v>1257</v>
      </c>
      <c r="B688" s="162" t="s">
        <v>829</v>
      </c>
      <c r="C688" s="176" t="s">
        <v>30</v>
      </c>
      <c r="D688" s="257">
        <f>1066*(100%+20%)</f>
        <v>1279.2</v>
      </c>
      <c r="E688" s="258">
        <f>1066*(100%+20%)</f>
        <v>1279.2</v>
      </c>
      <c r="F688" s="258">
        <f>1330*(100%+20%)</f>
        <v>1596</v>
      </c>
      <c r="G688" s="259">
        <f>1330*(100%+20%)</f>
        <v>1596</v>
      </c>
      <c r="H688" s="257">
        <f>1528*(100%+20%)</f>
        <v>1833.6</v>
      </c>
      <c r="I688" s="258">
        <f>1528*(100%+20%)</f>
        <v>1833.6</v>
      </c>
      <c r="J688" s="258">
        <f>1791*(100%+20%)</f>
        <v>2149.2</v>
      </c>
      <c r="K688" s="259">
        <f>1791*(100%+20%)</f>
        <v>2149.2</v>
      </c>
      <c r="L688" s="69"/>
      <c r="M688" s="44"/>
    </row>
    <row r="689" spans="1:13" ht="15" customHeight="1">
      <c r="A689" s="81" t="s">
        <v>1258</v>
      </c>
      <c r="B689" s="162" t="s">
        <v>830</v>
      </c>
      <c r="C689" s="176" t="s">
        <v>30</v>
      </c>
      <c r="D689" s="257">
        <f>1256*(100%+20%)</f>
        <v>1507.2</v>
      </c>
      <c r="E689" s="258">
        <f>1256*(100%+20%)</f>
        <v>1507.2</v>
      </c>
      <c r="F689" s="258">
        <f>1568*(100%+20%)</f>
        <v>1881.6</v>
      </c>
      <c r="G689" s="259">
        <f>1568*(100%+20%)</f>
        <v>1881.6</v>
      </c>
      <c r="H689" s="257">
        <f>1815*(100%+20%)</f>
        <v>2178</v>
      </c>
      <c r="I689" s="258">
        <f>1815*(100%+20%)</f>
        <v>2178</v>
      </c>
      <c r="J689" s="258">
        <f>2128*(100%+20%)</f>
        <v>2553.6</v>
      </c>
      <c r="K689" s="259">
        <f>2128*(100%+20%)</f>
        <v>2553.6</v>
      </c>
      <c r="L689" s="69"/>
      <c r="M689" s="44"/>
    </row>
    <row r="690" spans="1:13" ht="15" customHeight="1">
      <c r="A690" s="81" t="s">
        <v>1259</v>
      </c>
      <c r="B690" s="162" t="s">
        <v>1414</v>
      </c>
      <c r="C690" s="176" t="s">
        <v>30</v>
      </c>
      <c r="D690" s="257">
        <f>1184*(100%+20%)</f>
        <v>1420.8</v>
      </c>
      <c r="E690" s="258">
        <f>1184*(100%+20%)</f>
        <v>1420.8</v>
      </c>
      <c r="F690" s="258">
        <f>1497*(100%+20%)</f>
        <v>1796.3999999999999</v>
      </c>
      <c r="G690" s="259">
        <f>1497*(100%+20%)</f>
        <v>1796.3999999999999</v>
      </c>
      <c r="H690" s="257">
        <f>1815*(100%+20%)</f>
        <v>2178</v>
      </c>
      <c r="I690" s="258">
        <f>1815*(100%+20%)</f>
        <v>2178</v>
      </c>
      <c r="J690" s="258">
        <f>2128*(100%+20%)</f>
        <v>2553.6</v>
      </c>
      <c r="K690" s="259">
        <f>2128*(100%+20%)</f>
        <v>2553.6</v>
      </c>
      <c r="L690" s="69"/>
      <c r="M690" s="44"/>
    </row>
    <row r="691" spans="1:13" ht="15" customHeight="1">
      <c r="A691" s="101" t="s">
        <v>1260</v>
      </c>
      <c r="B691" s="162" t="s">
        <v>831</v>
      </c>
      <c r="C691" s="176" t="s">
        <v>30</v>
      </c>
      <c r="D691" s="257">
        <f>358*(100%+20%)</f>
        <v>429.59999999999997</v>
      </c>
      <c r="E691" s="258">
        <f>358*(100%+20%)</f>
        <v>429.59999999999997</v>
      </c>
      <c r="F691" s="258">
        <f>435*(100%+20%)</f>
        <v>522</v>
      </c>
      <c r="G691" s="259">
        <f>435*(100%+20%)</f>
        <v>522</v>
      </c>
      <c r="H691" s="257">
        <f>453*(100%+20%)</f>
        <v>543.6</v>
      </c>
      <c r="I691" s="258">
        <f>453*(100%+20%)</f>
        <v>543.6</v>
      </c>
      <c r="J691" s="258">
        <f>530*(100%+20%)</f>
        <v>636</v>
      </c>
      <c r="K691" s="259">
        <f>530*(100%+20%)</f>
        <v>636</v>
      </c>
      <c r="L691" s="69"/>
      <c r="M691" s="44"/>
    </row>
    <row r="692" spans="1:13" ht="15" customHeight="1" thickBot="1">
      <c r="A692" s="167" t="s">
        <v>1261</v>
      </c>
      <c r="B692" s="162" t="s">
        <v>1394</v>
      </c>
      <c r="C692" s="176" t="s">
        <v>30</v>
      </c>
      <c r="D692" s="257">
        <f>389*(100%+20%)</f>
        <v>466.79999999999995</v>
      </c>
      <c r="E692" s="258">
        <f>389*(100%+20%)</f>
        <v>466.79999999999995</v>
      </c>
      <c r="F692" s="258">
        <f>482*(100%+20%)</f>
        <v>578.4</v>
      </c>
      <c r="G692" s="259">
        <f>482*(100%+20%)</f>
        <v>578.4</v>
      </c>
      <c r="H692" s="257">
        <f>546*(100%+20%)</f>
        <v>655.1999999999999</v>
      </c>
      <c r="I692" s="258">
        <f>546*(100%+20%)</f>
        <v>655.1999999999999</v>
      </c>
      <c r="J692" s="258">
        <f>641*(100%+20%)</f>
        <v>769.1999999999999</v>
      </c>
      <c r="K692" s="259">
        <f>641*(100%+20%)</f>
        <v>769.1999999999999</v>
      </c>
      <c r="L692" s="69"/>
      <c r="M692" s="44"/>
    </row>
    <row r="693" spans="1:11" ht="15" customHeight="1">
      <c r="A693" s="31"/>
      <c r="B693" s="162" t="s">
        <v>832</v>
      </c>
      <c r="C693" s="176" t="s">
        <v>30</v>
      </c>
      <c r="D693" s="257">
        <f>541*(100%+20%)</f>
        <v>649.1999999999999</v>
      </c>
      <c r="E693" s="258">
        <f>541*(100%+20%)</f>
        <v>649.1999999999999</v>
      </c>
      <c r="F693" s="258">
        <f>667*(100%+20%)</f>
        <v>800.4</v>
      </c>
      <c r="G693" s="259">
        <f>667*(100%+20%)</f>
        <v>800.4</v>
      </c>
      <c r="H693" s="257">
        <f>732*(100%+20%)</f>
        <v>878.4</v>
      </c>
      <c r="I693" s="258">
        <f>732*(100%+20%)</f>
        <v>878.4</v>
      </c>
      <c r="J693" s="258">
        <f>856*(100%+20%)</f>
        <v>1027.2</v>
      </c>
      <c r="K693" s="259">
        <f>856*(100%+20%)</f>
        <v>1027.2</v>
      </c>
    </row>
    <row r="694" spans="1:11" ht="15" customHeight="1">
      <c r="A694" s="31"/>
      <c r="B694" s="162" t="s">
        <v>833</v>
      </c>
      <c r="C694" s="176" t="s">
        <v>30</v>
      </c>
      <c r="D694" s="257">
        <f>664*(100%+20%)</f>
        <v>796.8</v>
      </c>
      <c r="E694" s="258">
        <f>664*(100%+20%)</f>
        <v>796.8</v>
      </c>
      <c r="F694" s="258">
        <f>823*(100%+20%)</f>
        <v>987.5999999999999</v>
      </c>
      <c r="G694" s="259">
        <f>823*(100%+20%)</f>
        <v>987.5999999999999</v>
      </c>
      <c r="H694" s="257">
        <f>918*(100%+20%)</f>
        <v>1101.6</v>
      </c>
      <c r="I694" s="258">
        <f>918*(100%+20%)</f>
        <v>1101.6</v>
      </c>
      <c r="J694" s="258">
        <f>1075*(100%+20%)</f>
        <v>1290</v>
      </c>
      <c r="K694" s="259">
        <f>1075*(100%+20%)</f>
        <v>1290</v>
      </c>
    </row>
    <row r="695" spans="1:11" ht="15" customHeight="1" thickBot="1">
      <c r="A695" s="31"/>
      <c r="B695" s="162" t="s">
        <v>834</v>
      </c>
      <c r="C695" s="176" t="s">
        <v>30</v>
      </c>
      <c r="D695" s="257">
        <f>786*(100%+20%)</f>
        <v>943.1999999999999</v>
      </c>
      <c r="E695" s="258">
        <f>786*(100%+20%)</f>
        <v>943.1999999999999</v>
      </c>
      <c r="F695" s="258">
        <f>975*(100%+20%)</f>
        <v>1170</v>
      </c>
      <c r="G695" s="259">
        <f>975*(100%+20%)</f>
        <v>1170</v>
      </c>
      <c r="H695" s="257">
        <f>1102*(100%+20%)</f>
        <v>1322.3999999999999</v>
      </c>
      <c r="I695" s="258">
        <f>1102*(100%+20%)</f>
        <v>1322.3999999999999</v>
      </c>
      <c r="J695" s="258">
        <f>1292*(100%+20%)</f>
        <v>1550.3999999999999</v>
      </c>
      <c r="K695" s="259">
        <f>1292*(100%+20%)</f>
        <v>1550.3999999999999</v>
      </c>
    </row>
    <row r="696" spans="1:13" ht="15" customHeight="1">
      <c r="A696" s="86" t="s">
        <v>1262</v>
      </c>
      <c r="B696" s="162" t="s">
        <v>835</v>
      </c>
      <c r="C696" s="176" t="s">
        <v>30</v>
      </c>
      <c r="D696" s="257">
        <f>883*(100%+20%)</f>
        <v>1059.6</v>
      </c>
      <c r="E696" s="258">
        <f>883*(100%+20%)</f>
        <v>1059.6</v>
      </c>
      <c r="F696" s="258">
        <f>1098*(100%+20%)</f>
        <v>1317.6</v>
      </c>
      <c r="G696" s="259">
        <f>1098*(100%+20%)</f>
        <v>1317.6</v>
      </c>
      <c r="H696" s="257">
        <f>1250*(100%+20%)</f>
        <v>1500</v>
      </c>
      <c r="I696" s="258">
        <f>1250*(100%+20%)</f>
        <v>1500</v>
      </c>
      <c r="J696" s="258">
        <f>1465*(100%+20%)</f>
        <v>1758</v>
      </c>
      <c r="K696" s="259">
        <f>1465*(100%+20%)</f>
        <v>1758</v>
      </c>
      <c r="L696" s="69"/>
      <c r="M696" s="44"/>
    </row>
    <row r="697" spans="1:13" ht="15" customHeight="1">
      <c r="A697" s="81" t="s">
        <v>1263</v>
      </c>
      <c r="B697" s="162" t="s">
        <v>836</v>
      </c>
      <c r="C697" s="176" t="s">
        <v>30</v>
      </c>
      <c r="D697" s="257">
        <f>1066*(100%+20%)</f>
        <v>1279.2</v>
      </c>
      <c r="E697" s="258">
        <f>1066*(100%+20%)</f>
        <v>1279.2</v>
      </c>
      <c r="F697" s="258">
        <f>1330*(100%+20%)</f>
        <v>1596</v>
      </c>
      <c r="G697" s="259">
        <f>1330*(100%+20%)</f>
        <v>1596</v>
      </c>
      <c r="H697" s="257">
        <f>1528*(100%+20%)</f>
        <v>1833.6</v>
      </c>
      <c r="I697" s="258">
        <f>1528*(100%+20%)</f>
        <v>1833.6</v>
      </c>
      <c r="J697" s="258">
        <f>1791*(100%+20%)</f>
        <v>2149.2</v>
      </c>
      <c r="K697" s="259">
        <f>1791*(100%+20%)</f>
        <v>2149.2</v>
      </c>
      <c r="L697" s="69"/>
      <c r="M697" s="44"/>
    </row>
    <row r="698" spans="1:13" ht="15" customHeight="1">
      <c r="A698" s="81" t="s">
        <v>1264</v>
      </c>
      <c r="B698" s="162" t="s">
        <v>837</v>
      </c>
      <c r="C698" s="176" t="s">
        <v>30</v>
      </c>
      <c r="D698" s="257">
        <f>1256*(100%+20%)</f>
        <v>1507.2</v>
      </c>
      <c r="E698" s="258">
        <f>1256*(100%+20%)</f>
        <v>1507.2</v>
      </c>
      <c r="F698" s="258">
        <f>1568*(100%+20%)</f>
        <v>1881.6</v>
      </c>
      <c r="G698" s="259">
        <f>1568*(100%+20%)</f>
        <v>1881.6</v>
      </c>
      <c r="H698" s="257">
        <f>1815*(100%+20%)</f>
        <v>2178</v>
      </c>
      <c r="I698" s="258">
        <f>1815*(100%+20%)</f>
        <v>2178</v>
      </c>
      <c r="J698" s="258">
        <f>2128*(100%+20%)</f>
        <v>2553.6</v>
      </c>
      <c r="K698" s="259">
        <f>2128*(100%+20%)</f>
        <v>2553.6</v>
      </c>
      <c r="L698" s="69"/>
      <c r="M698" s="44"/>
    </row>
    <row r="699" spans="1:13" ht="15" customHeight="1">
      <c r="A699" s="81" t="s">
        <v>1265</v>
      </c>
      <c r="B699" s="165" t="s">
        <v>1415</v>
      </c>
      <c r="C699" s="176" t="s">
        <v>30</v>
      </c>
      <c r="D699" s="257">
        <f>1184*(100%+20%)</f>
        <v>1420.8</v>
      </c>
      <c r="E699" s="258">
        <f>1184*(100%+20%)</f>
        <v>1420.8</v>
      </c>
      <c r="F699" s="258">
        <f>1497*(100%+20%)</f>
        <v>1796.3999999999999</v>
      </c>
      <c r="G699" s="259">
        <f>1497*(100%+20%)</f>
        <v>1796.3999999999999</v>
      </c>
      <c r="H699" s="257">
        <f>1815*(100%+20%)</f>
        <v>2178</v>
      </c>
      <c r="I699" s="258">
        <f>1815*(100%+20%)</f>
        <v>2178</v>
      </c>
      <c r="J699" s="258">
        <f>2128*(100%+20%)</f>
        <v>2553.6</v>
      </c>
      <c r="K699" s="259">
        <f>2128*(100%+20%)</f>
        <v>2553.6</v>
      </c>
      <c r="L699" s="69"/>
      <c r="M699" s="44"/>
    </row>
    <row r="700" spans="1:13" ht="15" customHeight="1">
      <c r="A700" s="101" t="s">
        <v>1266</v>
      </c>
      <c r="B700" s="162" t="s">
        <v>838</v>
      </c>
      <c r="C700" s="176" t="s">
        <v>30</v>
      </c>
      <c r="D700" s="257">
        <f>358*(100%+20%)</f>
        <v>429.59999999999997</v>
      </c>
      <c r="E700" s="258">
        <f>358*(100%+20%)</f>
        <v>429.59999999999997</v>
      </c>
      <c r="F700" s="258">
        <f>435*(100%+20%)</f>
        <v>522</v>
      </c>
      <c r="G700" s="259">
        <f>435*(100%+20%)</f>
        <v>522</v>
      </c>
      <c r="H700" s="257">
        <f>453*(100%+20%)</f>
        <v>543.6</v>
      </c>
      <c r="I700" s="258">
        <f>453*(100%+20%)</f>
        <v>543.6</v>
      </c>
      <c r="J700" s="258">
        <f>530*(100%+20%)</f>
        <v>636</v>
      </c>
      <c r="K700" s="259">
        <f>530*(100%+20%)</f>
        <v>636</v>
      </c>
      <c r="L700" s="69"/>
      <c r="M700" s="44"/>
    </row>
    <row r="701" spans="1:13" ht="15" customHeight="1" thickBot="1">
      <c r="A701" s="167" t="s">
        <v>1267</v>
      </c>
      <c r="B701" s="162" t="s">
        <v>1395</v>
      </c>
      <c r="C701" s="176" t="s">
        <v>30</v>
      </c>
      <c r="D701" s="257">
        <f>389*(100%+20%)</f>
        <v>466.79999999999995</v>
      </c>
      <c r="E701" s="258">
        <f>389*(100%+20%)</f>
        <v>466.79999999999995</v>
      </c>
      <c r="F701" s="258">
        <f>482*(100%+20%)</f>
        <v>578.4</v>
      </c>
      <c r="G701" s="259">
        <f>482*(100%+20%)</f>
        <v>578.4</v>
      </c>
      <c r="H701" s="257">
        <f>546*(100%+20%)</f>
        <v>655.1999999999999</v>
      </c>
      <c r="I701" s="258">
        <f>546*(100%+20%)</f>
        <v>655.1999999999999</v>
      </c>
      <c r="J701" s="258">
        <f>641*(100%+20%)</f>
        <v>769.1999999999999</v>
      </c>
      <c r="K701" s="259">
        <f>641*(100%+20%)</f>
        <v>769.1999999999999</v>
      </c>
      <c r="L701" s="69"/>
      <c r="M701" s="44"/>
    </row>
    <row r="702" spans="1:13" ht="15" customHeight="1">
      <c r="A702" s="31"/>
      <c r="B702" s="162" t="s">
        <v>839</v>
      </c>
      <c r="C702" s="176" t="s">
        <v>30</v>
      </c>
      <c r="D702" s="257">
        <f>541*(100%+20%)</f>
        <v>649.1999999999999</v>
      </c>
      <c r="E702" s="258">
        <f>541*(100%+20%)</f>
        <v>649.1999999999999</v>
      </c>
      <c r="F702" s="258">
        <f>667*(100%+20%)</f>
        <v>800.4</v>
      </c>
      <c r="G702" s="259">
        <f>667*(100%+20%)</f>
        <v>800.4</v>
      </c>
      <c r="H702" s="257">
        <f>732*(100%+20%)</f>
        <v>878.4</v>
      </c>
      <c r="I702" s="258">
        <f>732*(100%+20%)</f>
        <v>878.4</v>
      </c>
      <c r="J702" s="258">
        <f>856*(100%+20%)</f>
        <v>1027.2</v>
      </c>
      <c r="K702" s="259">
        <f>856*(100%+20%)</f>
        <v>1027.2</v>
      </c>
      <c r="M702" s="44"/>
    </row>
    <row r="703" spans="1:13" ht="15" customHeight="1">
      <c r="A703" s="31"/>
      <c r="B703" s="162" t="s">
        <v>840</v>
      </c>
      <c r="C703" s="176" t="s">
        <v>30</v>
      </c>
      <c r="D703" s="257">
        <f>664*(100%+20%)</f>
        <v>796.8</v>
      </c>
      <c r="E703" s="258">
        <f>664*(100%+20%)</f>
        <v>796.8</v>
      </c>
      <c r="F703" s="258">
        <f>823*(100%+20%)</f>
        <v>987.5999999999999</v>
      </c>
      <c r="G703" s="259">
        <f>823*(100%+20%)</f>
        <v>987.5999999999999</v>
      </c>
      <c r="H703" s="257">
        <f>918*(100%+20%)</f>
        <v>1101.6</v>
      </c>
      <c r="I703" s="258">
        <f>918*(100%+20%)</f>
        <v>1101.6</v>
      </c>
      <c r="J703" s="258">
        <f>1075*(100%+20%)</f>
        <v>1290</v>
      </c>
      <c r="K703" s="259">
        <f>1075*(100%+20%)</f>
        <v>1290</v>
      </c>
      <c r="M703" s="44"/>
    </row>
    <row r="704" spans="1:13" ht="15" customHeight="1" thickBot="1">
      <c r="A704" s="31"/>
      <c r="B704" s="162" t="s">
        <v>841</v>
      </c>
      <c r="C704" s="176" t="s">
        <v>30</v>
      </c>
      <c r="D704" s="257">
        <f>786*(100%+20%)</f>
        <v>943.1999999999999</v>
      </c>
      <c r="E704" s="258">
        <f>786*(100%+20%)</f>
        <v>943.1999999999999</v>
      </c>
      <c r="F704" s="258">
        <f>975*(100%+20%)</f>
        <v>1170</v>
      </c>
      <c r="G704" s="259">
        <f>975*(100%+20%)</f>
        <v>1170</v>
      </c>
      <c r="H704" s="257">
        <f>1102*(100%+20%)</f>
        <v>1322.3999999999999</v>
      </c>
      <c r="I704" s="258">
        <f>1102*(100%+20%)</f>
        <v>1322.3999999999999</v>
      </c>
      <c r="J704" s="258">
        <f>1292*(100%+20%)</f>
        <v>1550.3999999999999</v>
      </c>
      <c r="K704" s="259">
        <f>1292*(100%+20%)</f>
        <v>1550.3999999999999</v>
      </c>
      <c r="M704" s="44"/>
    </row>
    <row r="705" spans="1:13" ht="15" customHeight="1">
      <c r="A705" s="86" t="s">
        <v>1268</v>
      </c>
      <c r="B705" s="162" t="s">
        <v>842</v>
      </c>
      <c r="C705" s="176" t="s">
        <v>30</v>
      </c>
      <c r="D705" s="257">
        <f>883*(100%+20%)</f>
        <v>1059.6</v>
      </c>
      <c r="E705" s="258">
        <f>883*(100%+20%)</f>
        <v>1059.6</v>
      </c>
      <c r="F705" s="258">
        <f>1098*(100%+20%)</f>
        <v>1317.6</v>
      </c>
      <c r="G705" s="259">
        <f>1098*(100%+20%)</f>
        <v>1317.6</v>
      </c>
      <c r="H705" s="257">
        <f>1250*(100%+20%)</f>
        <v>1500</v>
      </c>
      <c r="I705" s="258">
        <f>1250*(100%+20%)</f>
        <v>1500</v>
      </c>
      <c r="J705" s="258">
        <f>1465*(100%+20%)</f>
        <v>1758</v>
      </c>
      <c r="K705" s="259">
        <f>1465*(100%+20%)</f>
        <v>1758</v>
      </c>
      <c r="M705" s="44"/>
    </row>
    <row r="706" spans="1:13" ht="15" customHeight="1">
      <c r="A706" s="81" t="s">
        <v>1269</v>
      </c>
      <c r="B706" s="162" t="s">
        <v>843</v>
      </c>
      <c r="C706" s="186" t="s">
        <v>30</v>
      </c>
      <c r="D706" s="257">
        <f>1066*(100%+20%)</f>
        <v>1279.2</v>
      </c>
      <c r="E706" s="258">
        <f>1066*(100%+20%)</f>
        <v>1279.2</v>
      </c>
      <c r="F706" s="258">
        <f>1330*(100%+20%)</f>
        <v>1596</v>
      </c>
      <c r="G706" s="259">
        <f>1330*(100%+20%)</f>
        <v>1596</v>
      </c>
      <c r="H706" s="257">
        <f>1528*(100%+20%)</f>
        <v>1833.6</v>
      </c>
      <c r="I706" s="258">
        <f>1528*(100%+20%)</f>
        <v>1833.6</v>
      </c>
      <c r="J706" s="258">
        <f>1791*(100%+20%)</f>
        <v>2149.2</v>
      </c>
      <c r="K706" s="259">
        <f>1791*(100%+20%)</f>
        <v>2149.2</v>
      </c>
      <c r="M706" s="44"/>
    </row>
    <row r="707" spans="1:13" ht="15" customHeight="1">
      <c r="A707" s="81" t="s">
        <v>1270</v>
      </c>
      <c r="B707" s="162" t="s">
        <v>844</v>
      </c>
      <c r="C707" s="176" t="s">
        <v>30</v>
      </c>
      <c r="D707" s="257">
        <f>1256*(100%+20%)</f>
        <v>1507.2</v>
      </c>
      <c r="E707" s="258">
        <f>1256*(100%+20%)</f>
        <v>1507.2</v>
      </c>
      <c r="F707" s="258">
        <f>1568*(100%+20%)</f>
        <v>1881.6</v>
      </c>
      <c r="G707" s="259">
        <f>1568*(100%+20%)</f>
        <v>1881.6</v>
      </c>
      <c r="H707" s="257">
        <f>1815*(100%+20%)</f>
        <v>2178</v>
      </c>
      <c r="I707" s="258">
        <f>1815*(100%+20%)</f>
        <v>2178</v>
      </c>
      <c r="J707" s="258">
        <f>2128*(100%+20%)</f>
        <v>2553.6</v>
      </c>
      <c r="K707" s="259">
        <f>2128*(100%+20%)</f>
        <v>2553.6</v>
      </c>
      <c r="M707" s="44"/>
    </row>
    <row r="708" spans="1:13" ht="15" customHeight="1">
      <c r="A708" s="81" t="s">
        <v>1271</v>
      </c>
      <c r="B708" s="162" t="s">
        <v>1416</v>
      </c>
      <c r="C708" s="176" t="s">
        <v>30</v>
      </c>
      <c r="D708" s="257">
        <f>1184*(100%+20%)</f>
        <v>1420.8</v>
      </c>
      <c r="E708" s="258">
        <f>1184*(100%+20%)</f>
        <v>1420.8</v>
      </c>
      <c r="F708" s="258">
        <f>1497*(100%+20%)</f>
        <v>1796.3999999999999</v>
      </c>
      <c r="G708" s="259">
        <f>1497*(100%+20%)</f>
        <v>1796.3999999999999</v>
      </c>
      <c r="H708" s="257">
        <f>1815*(100%+20%)</f>
        <v>2178</v>
      </c>
      <c r="I708" s="258">
        <f>1815*(100%+20%)</f>
        <v>2178</v>
      </c>
      <c r="J708" s="258">
        <f>2128*(100%+20%)</f>
        <v>2553.6</v>
      </c>
      <c r="K708" s="259">
        <f>2128*(100%+20%)</f>
        <v>2553.6</v>
      </c>
      <c r="M708" s="44"/>
    </row>
    <row r="709" spans="1:13" ht="15" customHeight="1">
      <c r="A709" s="101" t="s">
        <v>1272</v>
      </c>
      <c r="B709" s="162" t="s">
        <v>301</v>
      </c>
      <c r="C709" s="176" t="s">
        <v>30</v>
      </c>
      <c r="D709" s="257">
        <f>358*(100%+20%)</f>
        <v>429.59999999999997</v>
      </c>
      <c r="E709" s="258">
        <f>358*(100%+20%)</f>
        <v>429.59999999999997</v>
      </c>
      <c r="F709" s="258">
        <f>434*(100%+20%)</f>
        <v>520.8</v>
      </c>
      <c r="G709" s="259">
        <f>434*(100%+20%)</f>
        <v>520.8</v>
      </c>
      <c r="H709" s="257">
        <f>451*(100%+20%)</f>
        <v>541.1999999999999</v>
      </c>
      <c r="I709" s="258">
        <f>451*(100%+20%)</f>
        <v>541.1999999999999</v>
      </c>
      <c r="J709" s="258">
        <f>529*(100%+20%)</f>
        <v>634.8</v>
      </c>
      <c r="K709" s="259">
        <f>529*(100%+20%)</f>
        <v>634.8</v>
      </c>
      <c r="M709" s="44"/>
    </row>
    <row r="710" spans="1:13" ht="15" customHeight="1" thickBot="1">
      <c r="A710" s="167" t="s">
        <v>1273</v>
      </c>
      <c r="B710" s="162" t="s">
        <v>1396</v>
      </c>
      <c r="C710" s="176" t="s">
        <v>30</v>
      </c>
      <c r="D710" s="257">
        <f>385*(100%+20%)</f>
        <v>462</v>
      </c>
      <c r="E710" s="258">
        <f>385*(100%+20%)</f>
        <v>462</v>
      </c>
      <c r="F710" s="258">
        <f>477*(100%+20%)</f>
        <v>572.4</v>
      </c>
      <c r="G710" s="259">
        <f>477*(100%+20%)</f>
        <v>572.4</v>
      </c>
      <c r="H710" s="257">
        <f>544*(100%+20%)</f>
        <v>652.8</v>
      </c>
      <c r="I710" s="258">
        <f>544*(100%+20%)</f>
        <v>652.8</v>
      </c>
      <c r="J710" s="258">
        <f>636*(100%+20%)</f>
        <v>763.1999999999999</v>
      </c>
      <c r="K710" s="259">
        <f>636*(100%+20%)</f>
        <v>763.1999999999999</v>
      </c>
      <c r="M710" s="44"/>
    </row>
    <row r="711" spans="1:11" ht="15" customHeight="1">
      <c r="A711" s="31"/>
      <c r="B711" s="162" t="s">
        <v>302</v>
      </c>
      <c r="C711" s="176" t="s">
        <v>30</v>
      </c>
      <c r="D711" s="257">
        <f>538*(100%+20%)</f>
        <v>645.6</v>
      </c>
      <c r="E711" s="258">
        <f>538*(100%+20%)</f>
        <v>645.6</v>
      </c>
      <c r="F711" s="258">
        <f>663*(100%+20%)</f>
        <v>795.6</v>
      </c>
      <c r="G711" s="259">
        <f>663*(100%+20%)</f>
        <v>795.6</v>
      </c>
      <c r="H711" s="257">
        <f>727*(100%+20%)</f>
        <v>872.4</v>
      </c>
      <c r="I711" s="258">
        <f>727*(100%+20%)</f>
        <v>872.4</v>
      </c>
      <c r="J711" s="258">
        <f>852*(100%+20%)</f>
        <v>1022.4</v>
      </c>
      <c r="K711" s="259">
        <f>852*(100%+20%)</f>
        <v>1022.4</v>
      </c>
    </row>
    <row r="712" spans="1:11" ht="15" customHeight="1">
      <c r="A712" s="31"/>
      <c r="B712" s="162" t="s">
        <v>303</v>
      </c>
      <c r="C712" s="176" t="s">
        <v>30</v>
      </c>
      <c r="D712" s="257">
        <f>657*(100%+20%)</f>
        <v>788.4</v>
      </c>
      <c r="E712" s="258">
        <f>657*(100%+20%)</f>
        <v>788.4</v>
      </c>
      <c r="F712" s="258">
        <f>813*(100%+20%)</f>
        <v>975.5999999999999</v>
      </c>
      <c r="G712" s="259">
        <f>813*(100%+20%)</f>
        <v>975.5999999999999</v>
      </c>
      <c r="H712" s="257">
        <f>910*(100%+20%)</f>
        <v>1092</v>
      </c>
      <c r="I712" s="258">
        <f>910*(100%+20%)</f>
        <v>1092</v>
      </c>
      <c r="J712" s="258">
        <f>1066*(100%+20%)</f>
        <v>1279.2</v>
      </c>
      <c r="K712" s="259">
        <f>1066*(100%+20%)</f>
        <v>1279.2</v>
      </c>
    </row>
    <row r="713" spans="1:11" ht="15" customHeight="1" thickBot="1">
      <c r="A713" s="31"/>
      <c r="B713" s="162" t="s">
        <v>304</v>
      </c>
      <c r="C713" s="176" t="s">
        <v>30</v>
      </c>
      <c r="D713" s="257">
        <f>779*(100%+20%)</f>
        <v>934.8</v>
      </c>
      <c r="E713" s="258">
        <f>779*(100%+20%)</f>
        <v>934.8</v>
      </c>
      <c r="F713" s="258">
        <f>968*(100%+20%)</f>
        <v>1161.6</v>
      </c>
      <c r="G713" s="259">
        <f>968*(100%+20%)</f>
        <v>1161.6</v>
      </c>
      <c r="H713" s="257">
        <f>1095*(100%+20%)</f>
        <v>1314</v>
      </c>
      <c r="I713" s="258">
        <f>1095*(100%+20%)</f>
        <v>1314</v>
      </c>
      <c r="J713" s="258">
        <f>1284*(100%+20%)</f>
        <v>1540.8</v>
      </c>
      <c r="K713" s="259">
        <f>1284*(100%+20%)</f>
        <v>1540.8</v>
      </c>
    </row>
    <row r="714" spans="1:13" ht="15" customHeight="1">
      <c r="A714" s="86" t="s">
        <v>1274</v>
      </c>
      <c r="B714" s="162" t="s">
        <v>305</v>
      </c>
      <c r="C714" s="186" t="s">
        <v>30</v>
      </c>
      <c r="D714" s="257">
        <f>876*(100%+20%)</f>
        <v>1051.2</v>
      </c>
      <c r="E714" s="258">
        <f>876*(100%+20%)</f>
        <v>1051.2</v>
      </c>
      <c r="F714" s="258">
        <f>1091*(100%+20%)</f>
        <v>1309.2</v>
      </c>
      <c r="G714" s="259">
        <f>1091*(100%+20%)</f>
        <v>1309.2</v>
      </c>
      <c r="H714" s="257">
        <f>1242*(100%+20%)</f>
        <v>1490.3999999999999</v>
      </c>
      <c r="I714" s="258">
        <f>1242*(100%+20%)</f>
        <v>1490.3999999999999</v>
      </c>
      <c r="J714" s="258">
        <f>1458*(100%+20%)</f>
        <v>1749.6</v>
      </c>
      <c r="K714" s="259">
        <f>1458*(100%+20%)</f>
        <v>1749.6</v>
      </c>
      <c r="L714" s="69"/>
      <c r="M714" s="44"/>
    </row>
    <row r="715" spans="1:13" ht="15" customHeight="1">
      <c r="A715" s="81" t="s">
        <v>1275</v>
      </c>
      <c r="B715" s="162" t="s">
        <v>306</v>
      </c>
      <c r="C715" s="176" t="s">
        <v>30</v>
      </c>
      <c r="D715" s="257">
        <f>1055*(100%+20%)</f>
        <v>1266</v>
      </c>
      <c r="E715" s="258">
        <f>1055*(100%+20%)</f>
        <v>1266</v>
      </c>
      <c r="F715" s="258">
        <f>1317*(100%+20%)</f>
        <v>1580.3999999999999</v>
      </c>
      <c r="G715" s="259">
        <f>1317*(100%+20%)</f>
        <v>1580.3999999999999</v>
      </c>
      <c r="H715" s="257">
        <f>1517*(100%+20%)</f>
        <v>1820.3999999999999</v>
      </c>
      <c r="I715" s="258">
        <f>1517*(100%+20%)</f>
        <v>1820.3999999999999</v>
      </c>
      <c r="J715" s="258">
        <f>1779*(100%+20%)</f>
        <v>2134.7999999999997</v>
      </c>
      <c r="K715" s="259">
        <f>1779*(100%+20%)</f>
        <v>2134.7999999999997</v>
      </c>
      <c r="L715" s="69"/>
      <c r="M715" s="44"/>
    </row>
    <row r="716" spans="1:13" ht="15" customHeight="1">
      <c r="A716" s="81" t="s">
        <v>1276</v>
      </c>
      <c r="B716" s="162" t="s">
        <v>307</v>
      </c>
      <c r="C716" s="176" t="s">
        <v>30</v>
      </c>
      <c r="D716" s="257">
        <f>1241*(100%+20%)</f>
        <v>1489.2</v>
      </c>
      <c r="E716" s="258">
        <f>1241*(100%+20%)</f>
        <v>1489.2</v>
      </c>
      <c r="F716" s="258">
        <f>1551*(100%+20%)</f>
        <v>1861.1999999999998</v>
      </c>
      <c r="G716" s="259">
        <f>1551*(100%+20%)</f>
        <v>1861.1999999999998</v>
      </c>
      <c r="H716" s="257">
        <f>1801*(100%+20%)</f>
        <v>2161.2</v>
      </c>
      <c r="I716" s="258">
        <f>1801*(100%+20%)</f>
        <v>2161.2</v>
      </c>
      <c r="J716" s="258">
        <f>2111*(100%+20%)</f>
        <v>2533.2</v>
      </c>
      <c r="K716" s="259">
        <f>2111*(100%+20%)</f>
        <v>2533.2</v>
      </c>
      <c r="L716" s="69"/>
      <c r="M716" s="44"/>
    </row>
    <row r="717" spans="1:13" ht="15" customHeight="1">
      <c r="A717" s="81" t="s">
        <v>1277</v>
      </c>
      <c r="B717" s="162" t="s">
        <v>1480</v>
      </c>
      <c r="C717" s="176" t="s">
        <v>30</v>
      </c>
      <c r="D717" s="257">
        <f>413*(100%+20%)</f>
        <v>495.59999999999997</v>
      </c>
      <c r="E717" s="258">
        <f>413*(100%+20%)</f>
        <v>495.59999999999997</v>
      </c>
      <c r="F717" s="154" t="s">
        <v>159</v>
      </c>
      <c r="G717" s="154" t="s">
        <v>159</v>
      </c>
      <c r="H717" s="257">
        <f>507*(100%+20%)</f>
        <v>608.4</v>
      </c>
      <c r="I717" s="258">
        <f>507*(100%+20%)</f>
        <v>608.4</v>
      </c>
      <c r="J717" s="154" t="s">
        <v>159</v>
      </c>
      <c r="K717" s="156" t="s">
        <v>159</v>
      </c>
      <c r="L717" s="69"/>
      <c r="M717" s="44"/>
    </row>
    <row r="718" spans="1:13" ht="15" customHeight="1">
      <c r="A718" s="81" t="s">
        <v>1278</v>
      </c>
      <c r="B718" s="162" t="s">
        <v>1481</v>
      </c>
      <c r="C718" s="176" t="s">
        <v>30</v>
      </c>
      <c r="D718" s="257">
        <f>499*(100%+20%)</f>
        <v>598.8</v>
      </c>
      <c r="E718" s="258">
        <f>499*(100%+20%)</f>
        <v>598.8</v>
      </c>
      <c r="F718" s="154" t="s">
        <v>159</v>
      </c>
      <c r="G718" s="154" t="s">
        <v>159</v>
      </c>
      <c r="H718" s="257">
        <f>657*(100%+20%)</f>
        <v>788.4</v>
      </c>
      <c r="I718" s="258">
        <f>657*(100%+20%)</f>
        <v>788.4</v>
      </c>
      <c r="J718" s="154" t="s">
        <v>159</v>
      </c>
      <c r="K718" s="156" t="s">
        <v>159</v>
      </c>
      <c r="L718" s="69"/>
      <c r="M718" s="44"/>
    </row>
    <row r="719" spans="1:13" ht="15" customHeight="1" thickBot="1">
      <c r="A719" s="82" t="s">
        <v>1279</v>
      </c>
      <c r="B719" s="162" t="s">
        <v>1483</v>
      </c>
      <c r="C719" s="176" t="s">
        <v>30</v>
      </c>
      <c r="D719" s="257">
        <f>653*(100%+20%)</f>
        <v>783.6</v>
      </c>
      <c r="E719" s="258">
        <f>653*(100%+20%)</f>
        <v>783.6</v>
      </c>
      <c r="F719" s="154" t="s">
        <v>159</v>
      </c>
      <c r="G719" s="154" t="s">
        <v>159</v>
      </c>
      <c r="H719" s="257">
        <f>844*(100%+20%)</f>
        <v>1012.8</v>
      </c>
      <c r="I719" s="258">
        <f>844*(100%+20%)</f>
        <v>1012.8</v>
      </c>
      <c r="J719" s="154" t="s">
        <v>159</v>
      </c>
      <c r="K719" s="156" t="s">
        <v>159</v>
      </c>
      <c r="L719" s="69"/>
      <c r="M719" s="44"/>
    </row>
    <row r="720" spans="1:11" ht="15" customHeight="1">
      <c r="A720" s="31"/>
      <c r="B720" s="162" t="s">
        <v>1482</v>
      </c>
      <c r="C720" s="176" t="s">
        <v>30</v>
      </c>
      <c r="D720" s="257">
        <f>811*(100%+20%)</f>
        <v>973.1999999999999</v>
      </c>
      <c r="E720" s="258">
        <f>811*(100%+20%)</f>
        <v>973.1999999999999</v>
      </c>
      <c r="F720" s="154" t="s">
        <v>159</v>
      </c>
      <c r="G720" s="154" t="s">
        <v>159</v>
      </c>
      <c r="H720" s="257">
        <f>1063*(100%+20%)</f>
        <v>1275.6</v>
      </c>
      <c r="I720" s="258">
        <f>1063*(100%+20%)</f>
        <v>1275.6</v>
      </c>
      <c r="J720" s="154" t="s">
        <v>159</v>
      </c>
      <c r="K720" s="156" t="s">
        <v>159</v>
      </c>
    </row>
    <row r="721" spans="1:11" ht="15" customHeight="1">
      <c r="A721" s="31"/>
      <c r="B721" s="162" t="s">
        <v>1484</v>
      </c>
      <c r="C721" s="176" t="s">
        <v>30</v>
      </c>
      <c r="D721" s="257">
        <f>972*(100%+20%)</f>
        <v>1166.3999999999999</v>
      </c>
      <c r="E721" s="258">
        <f>972*(100%+20%)</f>
        <v>1166.3999999999999</v>
      </c>
      <c r="F721" s="154" t="s">
        <v>159</v>
      </c>
      <c r="G721" s="154" t="s">
        <v>159</v>
      </c>
      <c r="H721" s="257">
        <f>1288*(100%+20%)</f>
        <v>1545.6</v>
      </c>
      <c r="I721" s="258">
        <f>1288*(100%+20%)</f>
        <v>1545.6</v>
      </c>
      <c r="J721" s="154" t="s">
        <v>159</v>
      </c>
      <c r="K721" s="156" t="s">
        <v>159</v>
      </c>
    </row>
    <row r="722" spans="1:11" ht="15" customHeight="1" thickBot="1">
      <c r="A722" s="31"/>
      <c r="B722" s="162" t="s">
        <v>1485</v>
      </c>
      <c r="C722" s="176" t="s">
        <v>30</v>
      </c>
      <c r="D722" s="257">
        <f>1098*(100%+20%)</f>
        <v>1317.6</v>
      </c>
      <c r="E722" s="258">
        <f>1098*(100%+20%)</f>
        <v>1317.6</v>
      </c>
      <c r="F722" s="154" t="s">
        <v>159</v>
      </c>
      <c r="G722" s="154" t="s">
        <v>159</v>
      </c>
      <c r="H722" s="257">
        <f>1465*(100%+20%)</f>
        <v>1758</v>
      </c>
      <c r="I722" s="258">
        <f>1465*(100%+20%)</f>
        <v>1758</v>
      </c>
      <c r="J722" s="154" t="s">
        <v>159</v>
      </c>
      <c r="K722" s="156" t="s">
        <v>159</v>
      </c>
    </row>
    <row r="723" spans="1:11" ht="15" customHeight="1">
      <c r="A723" s="86" t="s">
        <v>1280</v>
      </c>
      <c r="B723" s="162" t="s">
        <v>1486</v>
      </c>
      <c r="C723" s="176" t="s">
        <v>30</v>
      </c>
      <c r="D723" s="257">
        <f>1336*(100%+20%)</f>
        <v>1603.2</v>
      </c>
      <c r="E723" s="258">
        <f>1336*(100%+20%)</f>
        <v>1603.2</v>
      </c>
      <c r="F723" s="154" t="s">
        <v>159</v>
      </c>
      <c r="G723" s="154" t="s">
        <v>159</v>
      </c>
      <c r="H723" s="257">
        <f>1796*(100%+20%)</f>
        <v>2155.2</v>
      </c>
      <c r="I723" s="258">
        <f>1796*(100%+20%)</f>
        <v>2155.2</v>
      </c>
      <c r="J723" s="154" t="s">
        <v>159</v>
      </c>
      <c r="K723" s="156" t="s">
        <v>159</v>
      </c>
    </row>
    <row r="724" spans="1:11" ht="15" customHeight="1">
      <c r="A724" s="81" t="s">
        <v>1281</v>
      </c>
      <c r="B724" s="162" t="s">
        <v>1487</v>
      </c>
      <c r="C724" s="176" t="s">
        <v>30</v>
      </c>
      <c r="D724" s="257">
        <f>1584*(100%+20%)</f>
        <v>1900.8</v>
      </c>
      <c r="E724" s="258">
        <f>1584*(100%+20%)</f>
        <v>1900.8</v>
      </c>
      <c r="F724" s="154" t="s">
        <v>159</v>
      </c>
      <c r="G724" s="154" t="s">
        <v>159</v>
      </c>
      <c r="H724" s="257">
        <f>2144*(100%+20%)</f>
        <v>2572.7999999999997</v>
      </c>
      <c r="I724" s="258">
        <f>2144*(100%+20%)</f>
        <v>2572.7999999999997</v>
      </c>
      <c r="J724" s="154" t="s">
        <v>159</v>
      </c>
      <c r="K724" s="156" t="s">
        <v>159</v>
      </c>
    </row>
    <row r="725" spans="1:11" ht="15" customHeight="1">
      <c r="A725" s="81"/>
      <c r="B725" s="162" t="s">
        <v>1533</v>
      </c>
      <c r="C725" s="177" t="s">
        <v>30</v>
      </c>
      <c r="D725" s="257">
        <f>387*(100%+20%)</f>
        <v>464.4</v>
      </c>
      <c r="E725" s="258">
        <f>387*(100%+20%)</f>
        <v>464.4</v>
      </c>
      <c r="F725" s="258">
        <f>470*(100%+20%)</f>
        <v>564</v>
      </c>
      <c r="G725" s="259">
        <f>470*(100%+20%)</f>
        <v>564</v>
      </c>
      <c r="H725" s="257">
        <f>482*(100%+20%)</f>
        <v>578.4</v>
      </c>
      <c r="I725" s="258">
        <f>482*(100%+20%)</f>
        <v>578.4</v>
      </c>
      <c r="J725" s="258">
        <f>565*(100%+20%)</f>
        <v>678</v>
      </c>
      <c r="K725" s="259">
        <f>565*(100%+20%)</f>
        <v>678</v>
      </c>
    </row>
    <row r="726" spans="1:11" ht="15" customHeight="1">
      <c r="A726" s="81"/>
      <c r="B726" s="162" t="s">
        <v>1534</v>
      </c>
      <c r="C726" s="177" t="s">
        <v>30</v>
      </c>
      <c r="D726" s="257">
        <f>422*(100%+20%)</f>
        <v>506.4</v>
      </c>
      <c r="E726" s="258">
        <f>422*(100%+20%)</f>
        <v>506.4</v>
      </c>
      <c r="F726" s="258">
        <f>522*(100%+20%)</f>
        <v>626.4</v>
      </c>
      <c r="G726" s="259">
        <f>522*(100%+20%)</f>
        <v>626.4</v>
      </c>
      <c r="H726" s="257">
        <f>581*(100%+20%)</f>
        <v>697.1999999999999</v>
      </c>
      <c r="I726" s="258">
        <f>581*(100%+20%)</f>
        <v>697.1999999999999</v>
      </c>
      <c r="J726" s="258">
        <f>680*(100%+20%)</f>
        <v>816</v>
      </c>
      <c r="K726" s="259">
        <f>680*(100%+20%)</f>
        <v>816</v>
      </c>
    </row>
    <row r="727" spans="1:11" ht="15" customHeight="1">
      <c r="A727" s="81"/>
      <c r="B727" s="162" t="s">
        <v>1535</v>
      </c>
      <c r="C727" s="177" t="s">
        <v>30</v>
      </c>
      <c r="D727" s="257">
        <f>686*(100%+20%)</f>
        <v>823.1999999999999</v>
      </c>
      <c r="E727" s="258">
        <f>686*(100%+20%)</f>
        <v>823.1999999999999</v>
      </c>
      <c r="F727" s="258">
        <f>838*(100%+20%)</f>
        <v>1005.5999999999999</v>
      </c>
      <c r="G727" s="259">
        <f>838*(100%+20%)</f>
        <v>1005.5999999999999</v>
      </c>
      <c r="H727" s="257">
        <f>876*(100%+20%)</f>
        <v>1051.2</v>
      </c>
      <c r="I727" s="258">
        <f>876*(100%+20%)</f>
        <v>1051.2</v>
      </c>
      <c r="J727" s="258">
        <f>1027*(100%+20%)</f>
        <v>1232.3999999999999</v>
      </c>
      <c r="K727" s="259">
        <f>1027*(100%+20%)</f>
        <v>1232.3999999999999</v>
      </c>
    </row>
    <row r="728" spans="1:11" ht="15" customHeight="1">
      <c r="A728" s="81"/>
      <c r="B728" s="162" t="s">
        <v>1536</v>
      </c>
      <c r="C728" s="177" t="s">
        <v>30</v>
      </c>
      <c r="D728" s="257">
        <f>918*(100%+20%)</f>
        <v>1101.6</v>
      </c>
      <c r="E728" s="258">
        <f>918*(100%+20%)</f>
        <v>1101.6</v>
      </c>
      <c r="F728" s="258">
        <f>1119*(100%+20%)</f>
        <v>1342.8</v>
      </c>
      <c r="G728" s="259">
        <f>1119*(100%+20%)</f>
        <v>1342.8</v>
      </c>
      <c r="H728" s="257">
        <f>1171*(100%+20%)</f>
        <v>1405.2</v>
      </c>
      <c r="I728" s="258">
        <f>1171*(100%+20%)</f>
        <v>1405.2</v>
      </c>
      <c r="J728" s="258">
        <f>1373*(100%+20%)</f>
        <v>1647.6</v>
      </c>
      <c r="K728" s="259">
        <f>1373*(100%+20%)</f>
        <v>1647.6</v>
      </c>
    </row>
    <row r="729" spans="1:11" ht="15" customHeight="1">
      <c r="A729" s="81" t="s">
        <v>1282</v>
      </c>
      <c r="B729" s="162" t="s">
        <v>308</v>
      </c>
      <c r="C729" s="176" t="s">
        <v>9</v>
      </c>
      <c r="D729" s="257">
        <f>1167*(100%+20%)</f>
        <v>1400.3999999999999</v>
      </c>
      <c r="E729" s="258">
        <f>1167*(100%+20%)</f>
        <v>1400.3999999999999</v>
      </c>
      <c r="F729" s="258">
        <f>1408*(100%+20%)</f>
        <v>1689.6</v>
      </c>
      <c r="G729" s="259">
        <f>1408*(100%+20%)</f>
        <v>1689.6</v>
      </c>
      <c r="H729" s="257">
        <f>1389*(100%+20%)</f>
        <v>1666.8</v>
      </c>
      <c r="I729" s="258">
        <f>1389*(100%+20%)</f>
        <v>1666.8</v>
      </c>
      <c r="J729" s="258">
        <f>1629*(100%+20%)</f>
        <v>1954.8</v>
      </c>
      <c r="K729" s="259">
        <f>1629*(100%+20%)</f>
        <v>1954.8</v>
      </c>
    </row>
    <row r="730" spans="1:11" ht="15" customHeight="1">
      <c r="A730" s="81" t="s">
        <v>1283</v>
      </c>
      <c r="B730" s="162" t="s">
        <v>310</v>
      </c>
      <c r="C730" s="176" t="s">
        <v>9</v>
      </c>
      <c r="D730" s="257">
        <f>914*(100%+20%)</f>
        <v>1096.8</v>
      </c>
      <c r="E730" s="258">
        <f>914*(100%+20%)</f>
        <v>1096.8</v>
      </c>
      <c r="F730" s="258">
        <f>1155*(100%+20%)</f>
        <v>1386</v>
      </c>
      <c r="G730" s="259">
        <f>1155*(100%+20%)</f>
        <v>1386</v>
      </c>
      <c r="H730" s="257">
        <f>1389*(100%+20%)</f>
        <v>1666.8</v>
      </c>
      <c r="I730" s="258">
        <f>1389*(100%+20%)</f>
        <v>1666.8</v>
      </c>
      <c r="J730" s="258">
        <f>1629*(100%+20%)</f>
        <v>1954.8</v>
      </c>
      <c r="K730" s="259">
        <f>1629*(100%+20%)</f>
        <v>1954.8</v>
      </c>
    </row>
    <row r="731" spans="1:11" ht="15" customHeight="1">
      <c r="A731" s="81" t="s">
        <v>1284</v>
      </c>
      <c r="B731" s="162" t="s">
        <v>309</v>
      </c>
      <c r="C731" s="176" t="s">
        <v>9</v>
      </c>
      <c r="D731" s="257">
        <f>1437*(100%+20%)</f>
        <v>1724.3999999999999</v>
      </c>
      <c r="E731" s="258">
        <f>1437*(100%+20%)</f>
        <v>1724.3999999999999</v>
      </c>
      <c r="F731" s="258">
        <f>1722*(100%+20%)</f>
        <v>2066.4</v>
      </c>
      <c r="G731" s="259">
        <f>1722*(100%+20%)</f>
        <v>2066.4</v>
      </c>
      <c r="H731" s="257">
        <f>1658*(100%+20%)</f>
        <v>1989.6</v>
      </c>
      <c r="I731" s="258">
        <f>1658*(100%+20%)</f>
        <v>1989.6</v>
      </c>
      <c r="J731" s="258">
        <f>1943*(100%+20%)</f>
        <v>2331.6</v>
      </c>
      <c r="K731" s="259">
        <f>1943*(100%+20%)</f>
        <v>2331.6</v>
      </c>
    </row>
    <row r="732" spans="1:11" ht="15" customHeight="1" thickBot="1">
      <c r="A732" s="82" t="s">
        <v>1285</v>
      </c>
      <c r="B732" s="162" t="s">
        <v>311</v>
      </c>
      <c r="C732" s="176" t="s">
        <v>9</v>
      </c>
      <c r="D732" s="257">
        <f>1183*(100%+20%)</f>
        <v>1419.6</v>
      </c>
      <c r="E732" s="258">
        <f>1183*(100%+20%)</f>
        <v>1419.6</v>
      </c>
      <c r="F732" s="258">
        <f>1469*(100%+20%)</f>
        <v>1762.8</v>
      </c>
      <c r="G732" s="259">
        <f>1469*(100%+20%)</f>
        <v>1762.8</v>
      </c>
      <c r="H732" s="257">
        <f>1658*(100%+20%)</f>
        <v>1989.6</v>
      </c>
      <c r="I732" s="258">
        <f>1658*(100%+20%)</f>
        <v>1989.6</v>
      </c>
      <c r="J732" s="258">
        <f>1943*(100%+20%)</f>
        <v>2331.6</v>
      </c>
      <c r="K732" s="259">
        <f>1943*(100%+20%)</f>
        <v>2331.6</v>
      </c>
    </row>
    <row r="733" spans="1:11" ht="15" customHeight="1">
      <c r="A733" s="31"/>
      <c r="B733" s="162" t="s">
        <v>80</v>
      </c>
      <c r="C733" s="176" t="s">
        <v>9</v>
      </c>
      <c r="D733" s="257">
        <f>935*(100%+20%)</f>
        <v>1122</v>
      </c>
      <c r="E733" s="258">
        <f>935*(100%+20%)</f>
        <v>1122</v>
      </c>
      <c r="F733" s="258">
        <f>1150*(100%+20%)</f>
        <v>1380</v>
      </c>
      <c r="G733" s="259">
        <f>1150*(100%+20%)</f>
        <v>1380</v>
      </c>
      <c r="H733" s="257">
        <f>1251*(100%+20%)</f>
        <v>1501.2</v>
      </c>
      <c r="I733" s="258">
        <f>1251*(100%+20%)</f>
        <v>1501.2</v>
      </c>
      <c r="J733" s="258">
        <f>1466*(100%+20%)</f>
        <v>1759.2</v>
      </c>
      <c r="K733" s="259">
        <f>1466*(100%+20%)</f>
        <v>1759.2</v>
      </c>
    </row>
    <row r="734" spans="1:11" ht="15" customHeight="1">
      <c r="A734" s="31"/>
      <c r="B734" s="162" t="s">
        <v>81</v>
      </c>
      <c r="C734" s="176" t="s">
        <v>9</v>
      </c>
      <c r="D734" s="257">
        <f>935*(100%+20%)</f>
        <v>1122</v>
      </c>
      <c r="E734" s="258">
        <f>935*(100%+20%)</f>
        <v>1122</v>
      </c>
      <c r="F734" s="258">
        <f>1150*(100%+20%)</f>
        <v>1380</v>
      </c>
      <c r="G734" s="259">
        <f>1150*(100%+20%)</f>
        <v>1380</v>
      </c>
      <c r="H734" s="257">
        <f>1251*(100%+20%)</f>
        <v>1501.2</v>
      </c>
      <c r="I734" s="258">
        <f>1251*(100%+20%)</f>
        <v>1501.2</v>
      </c>
      <c r="J734" s="258">
        <f>1466*(100%+20%)</f>
        <v>1759.2</v>
      </c>
      <c r="K734" s="259">
        <f>1466*(100%+20%)</f>
        <v>1759.2</v>
      </c>
    </row>
    <row r="735" spans="1:11" ht="15" customHeight="1" thickBot="1">
      <c r="A735" s="31"/>
      <c r="B735" s="162" t="s">
        <v>1417</v>
      </c>
      <c r="C735" s="186" t="s">
        <v>9</v>
      </c>
      <c r="D735" s="257">
        <f aca="true" t="shared" si="20" ref="D735:E737">1588*(100%+20%)</f>
        <v>1905.6</v>
      </c>
      <c r="E735" s="258">
        <f t="shared" si="20"/>
        <v>1905.6</v>
      </c>
      <c r="F735" s="258">
        <f aca="true" t="shared" si="21" ref="F735:G737">1916*(100%+20%)</f>
        <v>2299.2</v>
      </c>
      <c r="G735" s="259">
        <f t="shared" si="21"/>
        <v>2299.2</v>
      </c>
      <c r="H735" s="257">
        <f aca="true" t="shared" si="22" ref="H735:I737">1904*(100%+20%)</f>
        <v>2284.7999999999997</v>
      </c>
      <c r="I735" s="258">
        <f t="shared" si="22"/>
        <v>2284.7999999999997</v>
      </c>
      <c r="J735" s="258">
        <f aca="true" t="shared" si="23" ref="J735:K737">2232*(100%+20%)</f>
        <v>2678.4</v>
      </c>
      <c r="K735" s="259">
        <f t="shared" si="23"/>
        <v>2678.4</v>
      </c>
    </row>
    <row r="736" spans="1:13" ht="15" customHeight="1">
      <c r="A736" s="86" t="s">
        <v>1286</v>
      </c>
      <c r="B736" s="162" t="s">
        <v>1418</v>
      </c>
      <c r="C736" s="186" t="s">
        <v>9</v>
      </c>
      <c r="D736" s="257">
        <f t="shared" si="20"/>
        <v>1905.6</v>
      </c>
      <c r="E736" s="258">
        <f t="shared" si="20"/>
        <v>1905.6</v>
      </c>
      <c r="F736" s="258">
        <f t="shared" si="21"/>
        <v>2299.2</v>
      </c>
      <c r="G736" s="259">
        <f t="shared" si="21"/>
        <v>2299.2</v>
      </c>
      <c r="H736" s="257">
        <f t="shared" si="22"/>
        <v>2284.7999999999997</v>
      </c>
      <c r="I736" s="258">
        <f t="shared" si="22"/>
        <v>2284.7999999999997</v>
      </c>
      <c r="J736" s="258">
        <f t="shared" si="23"/>
        <v>2678.4</v>
      </c>
      <c r="K736" s="259">
        <f t="shared" si="23"/>
        <v>2678.4</v>
      </c>
      <c r="L736" s="69"/>
      <c r="M736" s="44"/>
    </row>
    <row r="737" spans="1:13" ht="15" customHeight="1">
      <c r="A737" s="81" t="s">
        <v>1287</v>
      </c>
      <c r="B737" s="162" t="s">
        <v>1419</v>
      </c>
      <c r="C737" s="186" t="s">
        <v>9</v>
      </c>
      <c r="D737" s="257">
        <f t="shared" si="20"/>
        <v>1905.6</v>
      </c>
      <c r="E737" s="258">
        <f t="shared" si="20"/>
        <v>1905.6</v>
      </c>
      <c r="F737" s="258">
        <f t="shared" si="21"/>
        <v>2299.2</v>
      </c>
      <c r="G737" s="259">
        <f t="shared" si="21"/>
        <v>2299.2</v>
      </c>
      <c r="H737" s="257">
        <f t="shared" si="22"/>
        <v>2284.7999999999997</v>
      </c>
      <c r="I737" s="258">
        <f t="shared" si="22"/>
        <v>2284.7999999999997</v>
      </c>
      <c r="J737" s="258">
        <f t="shared" si="23"/>
        <v>2678.4</v>
      </c>
      <c r="K737" s="259">
        <f t="shared" si="23"/>
        <v>2678.4</v>
      </c>
      <c r="L737" s="69"/>
      <c r="M737" s="44"/>
    </row>
    <row r="738" spans="1:13" ht="15" customHeight="1">
      <c r="A738" s="81"/>
      <c r="B738" s="162" t="s">
        <v>1537</v>
      </c>
      <c r="C738" s="177" t="s">
        <v>9</v>
      </c>
      <c r="D738" s="257">
        <f>923*(100%+20%)</f>
        <v>1107.6</v>
      </c>
      <c r="E738" s="258">
        <f>923*(100%+20%)</f>
        <v>1107.6</v>
      </c>
      <c r="F738" s="258">
        <f>1124*(100%+20%)</f>
        <v>1348.8</v>
      </c>
      <c r="G738" s="259">
        <f>1124*(100%+20%)</f>
        <v>1348.8</v>
      </c>
      <c r="H738" s="257">
        <f>1175*(100%+20%)</f>
        <v>1410</v>
      </c>
      <c r="I738" s="258">
        <f>1175*(100%+20%)</f>
        <v>1410</v>
      </c>
      <c r="J738" s="258">
        <f>1378*(100%+20%)</f>
        <v>1653.6</v>
      </c>
      <c r="K738" s="259">
        <f>1378*(100%+20%)</f>
        <v>1653.6</v>
      </c>
      <c r="L738" s="69"/>
      <c r="M738" s="44"/>
    </row>
    <row r="739" spans="1:13" ht="15" customHeight="1">
      <c r="A739" s="81"/>
      <c r="B739" s="162" t="s">
        <v>1538</v>
      </c>
      <c r="C739" s="177" t="s">
        <v>9</v>
      </c>
      <c r="D739" s="257">
        <f>1705*(100%+20%)</f>
        <v>2046</v>
      </c>
      <c r="E739" s="258">
        <f>1705*(100%+20%)</f>
        <v>2046</v>
      </c>
      <c r="F739" s="258">
        <f>2070*(100%+20%)</f>
        <v>2484</v>
      </c>
      <c r="G739" s="259">
        <f>2070*(100%+20%)</f>
        <v>2484</v>
      </c>
      <c r="H739" s="257">
        <f>2116*(100%+20%)</f>
        <v>2539.2</v>
      </c>
      <c r="I739" s="258">
        <f>2116*(100%+20%)</f>
        <v>2539.2</v>
      </c>
      <c r="J739" s="258">
        <f>2481*(100%+20%)</f>
        <v>2977.2</v>
      </c>
      <c r="K739" s="259">
        <f>2481*(100%+20%)</f>
        <v>2977.2</v>
      </c>
      <c r="L739" s="69"/>
      <c r="M739" s="44"/>
    </row>
    <row r="740" spans="1:13" ht="15" customHeight="1">
      <c r="A740" s="81"/>
      <c r="B740" s="162" t="s">
        <v>1539</v>
      </c>
      <c r="C740" s="177" t="s">
        <v>9</v>
      </c>
      <c r="D740" s="257">
        <f>2284*(100%+20%)</f>
        <v>2740.7999999999997</v>
      </c>
      <c r="E740" s="258">
        <f>2284*(100%+20%)</f>
        <v>2740.7999999999997</v>
      </c>
      <c r="F740" s="258">
        <f>2770*(100%+20%)</f>
        <v>3324</v>
      </c>
      <c r="G740" s="259">
        <f>2770*(100%+20%)</f>
        <v>3324</v>
      </c>
      <c r="H740" s="257">
        <f>2822*(100%+20%)</f>
        <v>3386.4</v>
      </c>
      <c r="I740" s="258">
        <f>2822*(100%+20%)</f>
        <v>3386.4</v>
      </c>
      <c r="J740" s="258">
        <f>3307*(100%+20%)</f>
        <v>3968.3999999999996</v>
      </c>
      <c r="K740" s="259">
        <f>3307*(100%+20%)</f>
        <v>3968.3999999999996</v>
      </c>
      <c r="L740" s="69"/>
      <c r="M740" s="44"/>
    </row>
    <row r="741" spans="1:13" ht="15" customHeight="1">
      <c r="A741" s="81"/>
      <c r="B741" s="162" t="s">
        <v>1540</v>
      </c>
      <c r="C741" s="177" t="s">
        <v>9</v>
      </c>
      <c r="D741" s="257">
        <f>2519*(100%+20%)</f>
        <v>3022.7999999999997</v>
      </c>
      <c r="E741" s="258">
        <f>2519*(100%+20%)</f>
        <v>3022.7999999999997</v>
      </c>
      <c r="F741" s="258">
        <f>3047*(100%+20%)</f>
        <v>3656.4</v>
      </c>
      <c r="G741" s="259">
        <f>3047*(100%+20%)</f>
        <v>3656.4</v>
      </c>
      <c r="H741" s="257">
        <f>3057*(100%+20%)</f>
        <v>3668.4</v>
      </c>
      <c r="I741" s="258">
        <f>3057*(100%+20%)</f>
        <v>3668.4</v>
      </c>
      <c r="J741" s="258">
        <f>3583*(100%+20%)</f>
        <v>4299.599999999999</v>
      </c>
      <c r="K741" s="259">
        <f>3583*(100%+20%)</f>
        <v>4299.599999999999</v>
      </c>
      <c r="L741" s="69"/>
      <c r="M741" s="44"/>
    </row>
    <row r="742" spans="1:13" ht="15" customHeight="1">
      <c r="A742" s="81"/>
      <c r="B742" s="162" t="s">
        <v>1541</v>
      </c>
      <c r="C742" s="177" t="s">
        <v>9</v>
      </c>
      <c r="D742" s="257">
        <f>1392*(100%+20%)</f>
        <v>1670.3999999999999</v>
      </c>
      <c r="E742" s="258">
        <f>1392*(100%+20%)</f>
        <v>1670.3999999999999</v>
      </c>
      <c r="F742" s="258">
        <f>1676*(100%+20%)</f>
        <v>2011.1999999999998</v>
      </c>
      <c r="G742" s="259">
        <f>1676*(100%+20%)</f>
        <v>2011.1999999999998</v>
      </c>
      <c r="H742" s="257">
        <f>1646*(100%+20%)</f>
        <v>1975.1999999999998</v>
      </c>
      <c r="I742" s="258">
        <f>1646*(100%+20%)</f>
        <v>1975.1999999999998</v>
      </c>
      <c r="J742" s="258">
        <f>1929*(100%+20%)</f>
        <v>2314.7999999999997</v>
      </c>
      <c r="K742" s="259">
        <f>1929*(100%+20%)</f>
        <v>2314.7999999999997</v>
      </c>
      <c r="L742" s="69"/>
      <c r="M742" s="44"/>
    </row>
    <row r="743" spans="1:13" ht="15" customHeight="1">
      <c r="A743" s="81"/>
      <c r="B743" s="162" t="s">
        <v>1542</v>
      </c>
      <c r="C743" s="177" t="s">
        <v>9</v>
      </c>
      <c r="D743" s="257">
        <f>2411*(100%+20%)</f>
        <v>2893.2</v>
      </c>
      <c r="E743" s="258">
        <f>2411*(100%+20%)</f>
        <v>2893.2</v>
      </c>
      <c r="F743" s="258">
        <f>2897*(100%+20%)</f>
        <v>3476.4</v>
      </c>
      <c r="G743" s="259">
        <f>2897*(100%+20%)</f>
        <v>3476.4</v>
      </c>
      <c r="H743" s="257">
        <f>2822*(100%+20%)</f>
        <v>3386.4</v>
      </c>
      <c r="I743" s="258">
        <f>2822*(100%+20%)</f>
        <v>3386.4</v>
      </c>
      <c r="J743" s="258">
        <f>3307*(100%+20%)</f>
        <v>3968.3999999999996</v>
      </c>
      <c r="K743" s="259">
        <f>3307*(100%+20%)</f>
        <v>3968.3999999999996</v>
      </c>
      <c r="L743" s="69"/>
      <c r="M743" s="44"/>
    </row>
    <row r="744" spans="1:13" ht="15" customHeight="1">
      <c r="A744" s="81"/>
      <c r="B744" s="162" t="s">
        <v>1543</v>
      </c>
      <c r="C744" s="177" t="s">
        <v>9</v>
      </c>
      <c r="D744" s="257">
        <f>3224*(100%+20%)</f>
        <v>3868.7999999999997</v>
      </c>
      <c r="E744" s="258">
        <f>3224*(100%+20%)</f>
        <v>3868.7999999999997</v>
      </c>
      <c r="F744" s="258">
        <f>3872*(100%+20%)</f>
        <v>4646.4</v>
      </c>
      <c r="G744" s="259">
        <f>3872*(100%+20%)</f>
        <v>4646.4</v>
      </c>
      <c r="H744" s="257">
        <f>3761*(100%+20%)</f>
        <v>4513.2</v>
      </c>
      <c r="I744" s="258">
        <f>3761*(100%+20%)</f>
        <v>4513.2</v>
      </c>
      <c r="J744" s="258">
        <f>4410*(100%+20%)</f>
        <v>5292</v>
      </c>
      <c r="K744" s="259">
        <f>4410*(100%+20%)</f>
        <v>5292</v>
      </c>
      <c r="L744" s="69"/>
      <c r="M744" s="44"/>
    </row>
    <row r="745" spans="1:13" ht="15" customHeight="1">
      <c r="A745" s="81"/>
      <c r="B745" s="162" t="s">
        <v>1544</v>
      </c>
      <c r="C745" s="177" t="s">
        <v>9</v>
      </c>
      <c r="D745" s="257">
        <f>611*(100%+20%)</f>
        <v>733.1999999999999</v>
      </c>
      <c r="E745" s="258">
        <f>611*(100%+20%)</f>
        <v>733.1999999999999</v>
      </c>
      <c r="F745" s="258">
        <f>732*(100%+20%)</f>
        <v>878.4</v>
      </c>
      <c r="G745" s="259">
        <f>732*(100%+20%)</f>
        <v>878.4</v>
      </c>
      <c r="H745" s="257">
        <f>706*(100%+20%)</f>
        <v>847.1999999999999</v>
      </c>
      <c r="I745" s="258">
        <f>706*(100%+20%)</f>
        <v>847.1999999999999</v>
      </c>
      <c r="J745" s="258">
        <f>827*(100%+20%)</f>
        <v>992.4</v>
      </c>
      <c r="K745" s="259">
        <f>827*(100%+20%)</f>
        <v>992.4</v>
      </c>
      <c r="L745" s="69"/>
      <c r="M745" s="44"/>
    </row>
    <row r="746" spans="1:13" ht="15" customHeight="1">
      <c r="A746" s="81" t="s">
        <v>1288</v>
      </c>
      <c r="B746" s="162" t="s">
        <v>192</v>
      </c>
      <c r="C746" s="176" t="s">
        <v>9</v>
      </c>
      <c r="D746" s="257">
        <f>5331*(100%+20%)</f>
        <v>6397.2</v>
      </c>
      <c r="E746" s="258">
        <f>5331*(100%+20%)</f>
        <v>6397.2</v>
      </c>
      <c r="F746" s="258">
        <f>6571*(100%+20%)</f>
        <v>7885.2</v>
      </c>
      <c r="G746" s="259">
        <f>6571*(100%+20%)</f>
        <v>7885.2</v>
      </c>
      <c r="H746" s="257">
        <f>7194*(100%+20%)</f>
        <v>8632.8</v>
      </c>
      <c r="I746" s="258">
        <f>7194*(100%+20%)</f>
        <v>8632.8</v>
      </c>
      <c r="J746" s="258">
        <f>8435*(100%+20%)</f>
        <v>10122</v>
      </c>
      <c r="K746" s="259">
        <f>8435*(100%+20%)</f>
        <v>10122</v>
      </c>
      <c r="L746" s="69"/>
      <c r="M746" s="44"/>
    </row>
    <row r="747" spans="1:13" ht="15" customHeight="1">
      <c r="A747" s="81" t="s">
        <v>1289</v>
      </c>
      <c r="B747" s="162" t="s">
        <v>191</v>
      </c>
      <c r="C747" s="176" t="s">
        <v>9</v>
      </c>
      <c r="D747" s="257">
        <f>5331*(100%+20%)</f>
        <v>6397.2</v>
      </c>
      <c r="E747" s="258">
        <f>5331*(100%+20%)</f>
        <v>6397.2</v>
      </c>
      <c r="F747" s="258">
        <f>6571*(100%+20%)</f>
        <v>7885.2</v>
      </c>
      <c r="G747" s="259">
        <f>6571*(100%+20%)</f>
        <v>7885.2</v>
      </c>
      <c r="H747" s="257">
        <f>7194*(100%+20%)</f>
        <v>8632.8</v>
      </c>
      <c r="I747" s="258">
        <f>7194*(100%+20%)</f>
        <v>8632.8</v>
      </c>
      <c r="J747" s="258">
        <f>8435*(100%+20%)</f>
        <v>10122</v>
      </c>
      <c r="K747" s="259">
        <f>8435*(100%+20%)</f>
        <v>10122</v>
      </c>
      <c r="L747" s="69"/>
      <c r="M747" s="44"/>
    </row>
    <row r="748" spans="1:13" ht="15" customHeight="1">
      <c r="A748" s="81" t="s">
        <v>1290</v>
      </c>
      <c r="B748" s="162" t="s">
        <v>743</v>
      </c>
      <c r="C748" s="176" t="s">
        <v>9</v>
      </c>
      <c r="D748" s="257">
        <f>5940*(100%+20%)</f>
        <v>7128</v>
      </c>
      <c r="E748" s="258">
        <f>5940*(100%+20%)</f>
        <v>7128</v>
      </c>
      <c r="F748" s="258">
        <f>7284*(100%+20%)</f>
        <v>8740.8</v>
      </c>
      <c r="G748" s="259">
        <f>7284*(100%+20%)</f>
        <v>8740.8</v>
      </c>
      <c r="H748" s="257">
        <f>7803*(100%+20%)</f>
        <v>9363.6</v>
      </c>
      <c r="I748" s="258">
        <f>7803*(100%+20%)</f>
        <v>9363.6</v>
      </c>
      <c r="J748" s="258">
        <f>9148*(100%+20%)</f>
        <v>10977.6</v>
      </c>
      <c r="K748" s="259">
        <f>9148*(100%+20%)</f>
        <v>10977.6</v>
      </c>
      <c r="L748" s="69"/>
      <c r="M748" s="44"/>
    </row>
    <row r="749" spans="1:13" ht="15" customHeight="1" thickBot="1">
      <c r="A749" s="82" t="s">
        <v>1291</v>
      </c>
      <c r="B749" s="162" t="s">
        <v>1397</v>
      </c>
      <c r="C749" s="176" t="s">
        <v>9</v>
      </c>
      <c r="D749" s="257">
        <f>5732*(100%+20%)</f>
        <v>6878.4</v>
      </c>
      <c r="E749" s="258">
        <f>5732*(100%+20%)</f>
        <v>6878.4</v>
      </c>
      <c r="F749" s="258">
        <f>7041*(100%+20%)</f>
        <v>8449.199999999999</v>
      </c>
      <c r="G749" s="259">
        <f>7041*(100%+20%)</f>
        <v>8449.199999999999</v>
      </c>
      <c r="H749" s="257">
        <f>7596*(100%+20%)</f>
        <v>9115.199999999999</v>
      </c>
      <c r="I749" s="258">
        <f>7596*(100%+20%)</f>
        <v>9115.199999999999</v>
      </c>
      <c r="J749" s="258">
        <f>8904*(100%+20%)</f>
        <v>10684.8</v>
      </c>
      <c r="K749" s="259">
        <f>8904*(100%+20%)</f>
        <v>10684.8</v>
      </c>
      <c r="L749" s="69"/>
      <c r="M749" s="44"/>
    </row>
    <row r="750" spans="1:11" ht="15" customHeight="1">
      <c r="A750" s="25"/>
      <c r="B750" s="162" t="s">
        <v>1398</v>
      </c>
      <c r="C750" s="176" t="s">
        <v>9</v>
      </c>
      <c r="D750" s="257">
        <f>6721*(100%+20%)</f>
        <v>8065.2</v>
      </c>
      <c r="E750" s="258">
        <f>6721*(100%+20%)</f>
        <v>8065.2</v>
      </c>
      <c r="F750" s="258">
        <f>8200*(100%+20%)</f>
        <v>9840</v>
      </c>
      <c r="G750" s="259">
        <f>8200*(100%+20%)</f>
        <v>9840</v>
      </c>
      <c r="H750" s="257">
        <f>8585*(100%+20%)</f>
        <v>10302</v>
      </c>
      <c r="I750" s="258">
        <f>8585*(100%+20%)</f>
        <v>10302</v>
      </c>
      <c r="J750" s="258">
        <f>10064*(100%+20%)</f>
        <v>12076.8</v>
      </c>
      <c r="K750" s="259">
        <f>10064*(100%+20%)</f>
        <v>12076.8</v>
      </c>
    </row>
    <row r="751" spans="1:11" ht="15" customHeight="1">
      <c r="A751" s="25"/>
      <c r="B751" s="162" t="s">
        <v>1399</v>
      </c>
      <c r="C751" s="176" t="s">
        <v>9</v>
      </c>
      <c r="D751" s="257">
        <f>5732*(100%+20%)</f>
        <v>6878.4</v>
      </c>
      <c r="E751" s="258">
        <f>5732*(100%+20%)</f>
        <v>6878.4</v>
      </c>
      <c r="F751" s="258">
        <f>7041*(100%+20%)</f>
        <v>8449.199999999999</v>
      </c>
      <c r="G751" s="259">
        <f>7041*(100%+20%)</f>
        <v>8449.199999999999</v>
      </c>
      <c r="H751" s="257">
        <f>7596*(100%+20%)</f>
        <v>9115.199999999999</v>
      </c>
      <c r="I751" s="258">
        <f>7596*(100%+20%)</f>
        <v>9115.199999999999</v>
      </c>
      <c r="J751" s="258">
        <f>8904*(100%+20%)</f>
        <v>10684.8</v>
      </c>
      <c r="K751" s="259">
        <f>8904*(100%+20%)</f>
        <v>10684.8</v>
      </c>
    </row>
    <row r="752" spans="1:11" ht="15" customHeight="1" thickBot="1">
      <c r="A752" s="25"/>
      <c r="B752" s="162" t="s">
        <v>89</v>
      </c>
      <c r="C752" s="176" t="s">
        <v>0</v>
      </c>
      <c r="D752" s="257">
        <f>8312*(100%+20%)</f>
        <v>9974.4</v>
      </c>
      <c r="E752" s="258">
        <f>8312*(100%+20%)</f>
        <v>9974.4</v>
      </c>
      <c r="F752" s="258">
        <f>9858*(100%+20%)</f>
        <v>11829.6</v>
      </c>
      <c r="G752" s="259">
        <f>9858*(100%+20%)</f>
        <v>11829.6</v>
      </c>
      <c r="H752" s="257">
        <f>8975*(100%+20%)</f>
        <v>10770</v>
      </c>
      <c r="I752" s="258">
        <f>8975*(100%+20%)</f>
        <v>10770</v>
      </c>
      <c r="J752" s="258">
        <f>10523*(100%+20%)</f>
        <v>12627.6</v>
      </c>
      <c r="K752" s="259">
        <f>10523*(100%+20%)</f>
        <v>12627.6</v>
      </c>
    </row>
    <row r="753" spans="1:13" ht="15" customHeight="1">
      <c r="A753" s="86" t="s">
        <v>1292</v>
      </c>
      <c r="B753" s="162" t="s">
        <v>90</v>
      </c>
      <c r="C753" s="176" t="s">
        <v>0</v>
      </c>
      <c r="D753" s="257">
        <f>7964*(100%+20%)</f>
        <v>9556.8</v>
      </c>
      <c r="E753" s="258">
        <f>7964*(100%+20%)</f>
        <v>9556.8</v>
      </c>
      <c r="F753" s="258">
        <f>9510*(100%+20%)</f>
        <v>11412</v>
      </c>
      <c r="G753" s="259">
        <f>9510*(100%+20%)</f>
        <v>11412</v>
      </c>
      <c r="H753" s="257">
        <f>8975*(100%+20%)</f>
        <v>10770</v>
      </c>
      <c r="I753" s="258">
        <f>8975*(100%+20%)</f>
        <v>10770</v>
      </c>
      <c r="J753" s="258">
        <f>10523*(100%+20%)</f>
        <v>12627.6</v>
      </c>
      <c r="K753" s="259">
        <f>10523*(100%+20%)</f>
        <v>12627.6</v>
      </c>
      <c r="L753" s="69"/>
      <c r="M753" s="44"/>
    </row>
    <row r="754" spans="1:13" ht="15" customHeight="1">
      <c r="A754" s="98" t="s">
        <v>1293</v>
      </c>
      <c r="B754" s="162" t="s">
        <v>46</v>
      </c>
      <c r="C754" s="176" t="s">
        <v>9</v>
      </c>
      <c r="D754" s="257">
        <f>996*(100%+20%)</f>
        <v>1195.2</v>
      </c>
      <c r="E754" s="258">
        <f>996*(100%+20%)</f>
        <v>1195.2</v>
      </c>
      <c r="F754" s="258">
        <f>1674*(100%+20%)</f>
        <v>2008.8</v>
      </c>
      <c r="G754" s="259">
        <f>1674*(100%+20%)</f>
        <v>2008.8</v>
      </c>
      <c r="H754" s="257">
        <f>3936*(100%+20%)</f>
        <v>4723.2</v>
      </c>
      <c r="I754" s="258">
        <f>3936*(100%+20%)</f>
        <v>4723.2</v>
      </c>
      <c r="J754" s="258">
        <f>4614*(100%+20%)</f>
        <v>5536.8</v>
      </c>
      <c r="K754" s="259">
        <f>4614*(100%+20%)</f>
        <v>5536.8</v>
      </c>
      <c r="L754" s="69"/>
      <c r="M754" s="44"/>
    </row>
    <row r="755" spans="1:13" ht="15" customHeight="1">
      <c r="A755" s="98" t="s">
        <v>1294</v>
      </c>
      <c r="B755" s="162" t="s">
        <v>342</v>
      </c>
      <c r="C755" s="176" t="s">
        <v>30</v>
      </c>
      <c r="D755" s="257">
        <f>437*(100%+20%)</f>
        <v>524.4</v>
      </c>
      <c r="E755" s="258">
        <f>437*(100%+20%)</f>
        <v>524.4</v>
      </c>
      <c r="F755" s="258">
        <f>539*(100%+20%)</f>
        <v>646.8</v>
      </c>
      <c r="G755" s="259">
        <f>539*(100%+20%)</f>
        <v>646.8</v>
      </c>
      <c r="H755" s="257">
        <f>594*(100%+20%)</f>
        <v>712.8</v>
      </c>
      <c r="I755" s="258">
        <f>594*(100%+20%)</f>
        <v>712.8</v>
      </c>
      <c r="J755" s="258">
        <f>697*(100%+20%)</f>
        <v>836.4</v>
      </c>
      <c r="K755" s="259">
        <f>697*(100%+20%)</f>
        <v>836.4</v>
      </c>
      <c r="L755" s="69"/>
      <c r="M755" s="44"/>
    </row>
    <row r="756" spans="1:13" ht="15" customHeight="1">
      <c r="A756" s="98" t="s">
        <v>1295</v>
      </c>
      <c r="B756" s="162" t="s">
        <v>343</v>
      </c>
      <c r="C756" s="176" t="s">
        <v>30</v>
      </c>
      <c r="D756" s="257">
        <f>437*(100%+20%)</f>
        <v>524.4</v>
      </c>
      <c r="E756" s="258">
        <f>437*(100%+20%)</f>
        <v>524.4</v>
      </c>
      <c r="F756" s="258">
        <f>539*(100%+20%)</f>
        <v>646.8</v>
      </c>
      <c r="G756" s="259">
        <f>539*(100%+20%)</f>
        <v>646.8</v>
      </c>
      <c r="H756" s="257">
        <f>594*(100%+20%)</f>
        <v>712.8</v>
      </c>
      <c r="I756" s="258">
        <f>594*(100%+20%)</f>
        <v>712.8</v>
      </c>
      <c r="J756" s="258">
        <f>697*(100%+20%)</f>
        <v>836.4</v>
      </c>
      <c r="K756" s="259">
        <f>697*(100%+20%)</f>
        <v>836.4</v>
      </c>
      <c r="L756" s="69"/>
      <c r="M756" s="44"/>
    </row>
    <row r="757" spans="1:13" ht="15" customHeight="1">
      <c r="A757" s="98" t="s">
        <v>1296</v>
      </c>
      <c r="B757" s="162" t="s">
        <v>1545</v>
      </c>
      <c r="C757" s="176" t="s">
        <v>30</v>
      </c>
      <c r="D757" s="257">
        <f>85*(100%+20%)</f>
        <v>102</v>
      </c>
      <c r="E757" s="258">
        <f>85*(100%+20%)</f>
        <v>102</v>
      </c>
      <c r="F757" s="258">
        <f>133*(100%+20%)</f>
        <v>159.6</v>
      </c>
      <c r="G757" s="259">
        <f>133*(100%+20%)</f>
        <v>159.6</v>
      </c>
      <c r="H757" s="257">
        <f>276*(100%+20%)</f>
        <v>331.2</v>
      </c>
      <c r="I757" s="258">
        <f>276*(100%+20%)</f>
        <v>331.2</v>
      </c>
      <c r="J757" s="258">
        <f>322*(100%+20%)</f>
        <v>386.4</v>
      </c>
      <c r="K757" s="259">
        <f>322*(100%+20%)</f>
        <v>386.4</v>
      </c>
      <c r="L757" s="69"/>
      <c r="M757" s="44"/>
    </row>
    <row r="758" spans="1:13" ht="15" customHeight="1">
      <c r="A758" s="81" t="s">
        <v>1297</v>
      </c>
      <c r="B758" s="162" t="s">
        <v>1546</v>
      </c>
      <c r="C758" s="176" t="s">
        <v>30</v>
      </c>
      <c r="D758" s="257">
        <f>117*(100%+20%)</f>
        <v>140.4</v>
      </c>
      <c r="E758" s="258">
        <f>117*(100%+20%)</f>
        <v>140.4</v>
      </c>
      <c r="F758" s="258">
        <f>165*(100%+20%)</f>
        <v>198</v>
      </c>
      <c r="G758" s="259">
        <f>165*(100%+20%)</f>
        <v>198</v>
      </c>
      <c r="H758" s="257">
        <f>276*(100%+20%)</f>
        <v>331.2</v>
      </c>
      <c r="I758" s="258">
        <f>276*(100%+20%)</f>
        <v>331.2</v>
      </c>
      <c r="J758" s="258">
        <f>322*(100%+20%)</f>
        <v>386.4</v>
      </c>
      <c r="K758" s="259">
        <f>322*(100%+20%)</f>
        <v>386.4</v>
      </c>
      <c r="L758" s="69"/>
      <c r="M758" s="44"/>
    </row>
    <row r="759" spans="1:13" ht="15" customHeight="1">
      <c r="A759" s="81" t="s">
        <v>1298</v>
      </c>
      <c r="B759" s="162" t="s">
        <v>351</v>
      </c>
      <c r="C759" s="176" t="s">
        <v>9</v>
      </c>
      <c r="D759" s="257">
        <f>691*(100%+20%)</f>
        <v>829.1999999999999</v>
      </c>
      <c r="E759" s="258">
        <f>691*(100%+20%)</f>
        <v>829.1999999999999</v>
      </c>
      <c r="F759" s="258">
        <f>887*(100%+20%)</f>
        <v>1064.3999999999999</v>
      </c>
      <c r="G759" s="259">
        <f>887*(100%+20%)</f>
        <v>1064.3999999999999</v>
      </c>
      <c r="H759" s="257">
        <f>1134*(100%+20%)</f>
        <v>1360.8</v>
      </c>
      <c r="I759" s="258">
        <f>1134*(100%+20%)</f>
        <v>1360.8</v>
      </c>
      <c r="J759" s="258">
        <f>1330*(100%+20%)</f>
        <v>1596</v>
      </c>
      <c r="K759" s="259">
        <f>1330*(100%+20%)</f>
        <v>1596</v>
      </c>
      <c r="L759" s="69"/>
      <c r="M759" s="44"/>
    </row>
    <row r="760" spans="1:13" ht="15" customHeight="1">
      <c r="A760" s="81" t="s">
        <v>1299</v>
      </c>
      <c r="B760" s="162" t="s">
        <v>350</v>
      </c>
      <c r="C760" s="186" t="s">
        <v>9</v>
      </c>
      <c r="D760" s="257">
        <f>953*(100%+20%)</f>
        <v>1143.6</v>
      </c>
      <c r="E760" s="258">
        <f>953*(100%+20%)</f>
        <v>1143.6</v>
      </c>
      <c r="F760" s="258">
        <f>1193*(100%+20%)</f>
        <v>1431.6</v>
      </c>
      <c r="G760" s="259">
        <f>1193*(100%+20%)</f>
        <v>1431.6</v>
      </c>
      <c r="H760" s="257">
        <f>1396*(100%+20%)</f>
        <v>1675.2</v>
      </c>
      <c r="I760" s="258">
        <f>1396*(100%+20%)</f>
        <v>1675.2</v>
      </c>
      <c r="J760" s="258">
        <f>1636*(100%+20%)</f>
        <v>1963.1999999999998</v>
      </c>
      <c r="K760" s="259">
        <f>1636*(100%+20%)</f>
        <v>1963.1999999999998</v>
      </c>
      <c r="L760" s="69"/>
      <c r="M760" s="44"/>
    </row>
    <row r="761" spans="1:13" ht="15" customHeight="1">
      <c r="A761" s="81" t="s">
        <v>1300</v>
      </c>
      <c r="B761" s="162" t="s">
        <v>349</v>
      </c>
      <c r="C761" s="176" t="s">
        <v>9</v>
      </c>
      <c r="D761" s="257">
        <f aca="true" t="shared" si="24" ref="D761:E763">691*(100%+20%)</f>
        <v>829.1999999999999</v>
      </c>
      <c r="E761" s="258">
        <f t="shared" si="24"/>
        <v>829.1999999999999</v>
      </c>
      <c r="F761" s="258">
        <f aca="true" t="shared" si="25" ref="F761:G763">887*(100%+20%)</f>
        <v>1064.3999999999999</v>
      </c>
      <c r="G761" s="259">
        <f t="shared" si="25"/>
        <v>1064.3999999999999</v>
      </c>
      <c r="H761" s="257">
        <f aca="true" t="shared" si="26" ref="H761:I763">1134*(100%+20%)</f>
        <v>1360.8</v>
      </c>
      <c r="I761" s="258">
        <f t="shared" si="26"/>
        <v>1360.8</v>
      </c>
      <c r="J761" s="258">
        <f aca="true" t="shared" si="27" ref="J761:K763">1330*(100%+20%)</f>
        <v>1596</v>
      </c>
      <c r="K761" s="259">
        <f t="shared" si="27"/>
        <v>1596</v>
      </c>
      <c r="L761" s="69"/>
      <c r="M761" s="44"/>
    </row>
    <row r="762" spans="1:13" ht="15" customHeight="1" thickBot="1">
      <c r="A762" s="82" t="s">
        <v>1301</v>
      </c>
      <c r="B762" s="162" t="s">
        <v>348</v>
      </c>
      <c r="C762" s="176" t="s">
        <v>9</v>
      </c>
      <c r="D762" s="257">
        <f t="shared" si="24"/>
        <v>829.1999999999999</v>
      </c>
      <c r="E762" s="258">
        <f t="shared" si="24"/>
        <v>829.1999999999999</v>
      </c>
      <c r="F762" s="258">
        <f t="shared" si="25"/>
        <v>1064.3999999999999</v>
      </c>
      <c r="G762" s="259">
        <f t="shared" si="25"/>
        <v>1064.3999999999999</v>
      </c>
      <c r="H762" s="257">
        <f t="shared" si="26"/>
        <v>1360.8</v>
      </c>
      <c r="I762" s="258">
        <f t="shared" si="26"/>
        <v>1360.8</v>
      </c>
      <c r="J762" s="258">
        <f t="shared" si="27"/>
        <v>1596</v>
      </c>
      <c r="K762" s="259">
        <f t="shared" si="27"/>
        <v>1596</v>
      </c>
      <c r="L762" s="69"/>
      <c r="M762" s="44"/>
    </row>
    <row r="763" spans="1:11" ht="15" customHeight="1">
      <c r="A763" s="18"/>
      <c r="B763" s="162" t="s">
        <v>347</v>
      </c>
      <c r="C763" s="176" t="s">
        <v>9</v>
      </c>
      <c r="D763" s="257">
        <f t="shared" si="24"/>
        <v>829.1999999999999</v>
      </c>
      <c r="E763" s="258">
        <f t="shared" si="24"/>
        <v>829.1999999999999</v>
      </c>
      <c r="F763" s="258">
        <f t="shared" si="25"/>
        <v>1064.3999999999999</v>
      </c>
      <c r="G763" s="259">
        <f t="shared" si="25"/>
        <v>1064.3999999999999</v>
      </c>
      <c r="H763" s="257">
        <f t="shared" si="26"/>
        <v>1360.8</v>
      </c>
      <c r="I763" s="258">
        <f t="shared" si="26"/>
        <v>1360.8</v>
      </c>
      <c r="J763" s="258">
        <f t="shared" si="27"/>
        <v>1596</v>
      </c>
      <c r="K763" s="259">
        <f t="shared" si="27"/>
        <v>1596</v>
      </c>
    </row>
    <row r="764" spans="1:11" ht="15" customHeight="1" thickBot="1">
      <c r="A764" s="18"/>
      <c r="B764" s="163" t="s">
        <v>346</v>
      </c>
      <c r="C764" s="178" t="s">
        <v>9</v>
      </c>
      <c r="D764" s="260">
        <f>1229*(100%+20%)</f>
        <v>1474.8</v>
      </c>
      <c r="E764" s="261">
        <f>1229*(100%+20%)</f>
        <v>1474.8</v>
      </c>
      <c r="F764" s="261">
        <f>1517*(100%+20%)</f>
        <v>1820.3999999999999</v>
      </c>
      <c r="G764" s="262">
        <f>1517*(100%+20%)</f>
        <v>1820.3999999999999</v>
      </c>
      <c r="H764" s="260">
        <f>1672*(100%+20%)</f>
        <v>2006.3999999999999</v>
      </c>
      <c r="I764" s="261">
        <f>1672*(100%+20%)</f>
        <v>2006.3999999999999</v>
      </c>
      <c r="J764" s="261">
        <f>1959*(100%+20%)</f>
        <v>2350.7999999999997</v>
      </c>
      <c r="K764" s="262">
        <f>1959*(100%+20%)</f>
        <v>2350.7999999999997</v>
      </c>
    </row>
    <row r="765" spans="1:11" ht="13.5" customHeight="1" thickBot="1">
      <c r="A765" s="18"/>
      <c r="B765" s="303" t="s">
        <v>1502</v>
      </c>
      <c r="C765" s="304"/>
      <c r="D765" s="304"/>
      <c r="E765" s="304"/>
      <c r="F765" s="304"/>
      <c r="G765" s="304"/>
      <c r="H765" s="304"/>
      <c r="I765" s="304"/>
      <c r="J765" s="304"/>
      <c r="K765" s="305"/>
    </row>
    <row r="766" spans="1:11" ht="13.5" customHeight="1" thickBot="1">
      <c r="A766" s="18"/>
      <c r="B766" s="300" t="s">
        <v>332</v>
      </c>
      <c r="C766" s="301"/>
      <c r="D766" s="301"/>
      <c r="E766" s="301"/>
      <c r="F766" s="301"/>
      <c r="G766" s="301"/>
      <c r="H766" s="301"/>
      <c r="I766" s="301"/>
      <c r="J766" s="301"/>
      <c r="K766" s="302"/>
    </row>
    <row r="767" spans="1:13" ht="21" customHeight="1" thickBot="1">
      <c r="A767" s="86" t="s">
        <v>1302</v>
      </c>
      <c r="B767" s="356" t="s">
        <v>300</v>
      </c>
      <c r="C767" s="334"/>
      <c r="D767" s="334"/>
      <c r="E767" s="334"/>
      <c r="F767" s="334"/>
      <c r="G767" s="334"/>
      <c r="H767" s="334"/>
      <c r="I767" s="334"/>
      <c r="J767" s="334"/>
      <c r="K767" s="335"/>
      <c r="L767" s="69"/>
      <c r="M767" s="77"/>
    </row>
    <row r="768" spans="1:13" ht="21" customHeight="1" thickBot="1">
      <c r="A768" s="81" t="s">
        <v>1303</v>
      </c>
      <c r="B768" s="325" t="s">
        <v>200</v>
      </c>
      <c r="C768" s="351"/>
      <c r="D768" s="352"/>
      <c r="E768" s="352"/>
      <c r="F768" s="352"/>
      <c r="G768" s="352"/>
      <c r="H768" s="352"/>
      <c r="I768" s="352"/>
      <c r="J768" s="352"/>
      <c r="K768" s="365"/>
      <c r="L768" s="69"/>
      <c r="M768" s="77"/>
    </row>
    <row r="769" spans="1:13" ht="15" customHeight="1" thickBot="1">
      <c r="A769" s="27" t="s">
        <v>1304</v>
      </c>
      <c r="B769" s="314" t="s">
        <v>97</v>
      </c>
      <c r="C769" s="312" t="s">
        <v>1379</v>
      </c>
      <c r="D769" s="316" t="s">
        <v>845</v>
      </c>
      <c r="E769" s="317"/>
      <c r="F769" s="317"/>
      <c r="G769" s="318"/>
      <c r="H769" s="316" t="s">
        <v>846</v>
      </c>
      <c r="I769" s="317"/>
      <c r="J769" s="317"/>
      <c r="K769" s="318"/>
      <c r="L769" s="69"/>
      <c r="M769" s="77"/>
    </row>
    <row r="770" spans="1:13" ht="15" customHeight="1" thickBot="1">
      <c r="A770" s="27" t="s">
        <v>1305</v>
      </c>
      <c r="B770" s="315"/>
      <c r="C770" s="313"/>
      <c r="D770" s="106" t="s">
        <v>847</v>
      </c>
      <c r="E770" s="105" t="s">
        <v>4</v>
      </c>
      <c r="F770" s="103" t="s">
        <v>5</v>
      </c>
      <c r="G770" s="105" t="s">
        <v>1420</v>
      </c>
      <c r="H770" s="103" t="s">
        <v>847</v>
      </c>
      <c r="I770" s="105" t="s">
        <v>4</v>
      </c>
      <c r="J770" s="103" t="s">
        <v>5</v>
      </c>
      <c r="K770" s="105" t="s">
        <v>1420</v>
      </c>
      <c r="L770" s="69"/>
      <c r="M770" s="77"/>
    </row>
    <row r="771" spans="1:13" ht="15" customHeight="1">
      <c r="A771" s="98" t="s">
        <v>1306</v>
      </c>
      <c r="B771" s="161" t="s">
        <v>242</v>
      </c>
      <c r="C771" s="175" t="s">
        <v>30</v>
      </c>
      <c r="D771" s="253">
        <f>216*(100%+20%)</f>
        <v>259.2</v>
      </c>
      <c r="E771" s="254">
        <f>253*(100%+20%)</f>
        <v>303.59999999999997</v>
      </c>
      <c r="F771" s="255">
        <f>352*(100%+20%)</f>
        <v>422.4</v>
      </c>
      <c r="G771" s="256">
        <f>352*(100%+20%)</f>
        <v>422.4</v>
      </c>
      <c r="H771" s="253">
        <f>533*(100%+20%)</f>
        <v>639.6</v>
      </c>
      <c r="I771" s="254">
        <f>569*(100%+20%)</f>
        <v>682.8</v>
      </c>
      <c r="J771" s="255">
        <f>669*(100%+20%)</f>
        <v>802.8</v>
      </c>
      <c r="K771" s="256">
        <f>669*(100%+20%)</f>
        <v>802.8</v>
      </c>
      <c r="L771" s="69"/>
      <c r="M771" s="77"/>
    </row>
    <row r="772" spans="1:13" ht="15" customHeight="1" thickBot="1">
      <c r="A772" s="79" t="s">
        <v>1307</v>
      </c>
      <c r="B772" s="162" t="s">
        <v>243</v>
      </c>
      <c r="C772" s="176" t="s">
        <v>9</v>
      </c>
      <c r="D772" s="257">
        <f>1006*(100%+20%)</f>
        <v>1207.2</v>
      </c>
      <c r="E772" s="258">
        <f>1100*(100%+20%)</f>
        <v>1320</v>
      </c>
      <c r="F772" s="258">
        <f>1344*(100%+20%)</f>
        <v>1612.8</v>
      </c>
      <c r="G772" s="259">
        <f>1344*(100%+20%)</f>
        <v>1612.8</v>
      </c>
      <c r="H772" s="257">
        <f>1322*(100%+20%)</f>
        <v>1586.3999999999999</v>
      </c>
      <c r="I772" s="258">
        <f>1416*(100%+20%)</f>
        <v>1699.2</v>
      </c>
      <c r="J772" s="258">
        <f>1661*(100%+20%)</f>
        <v>1993.1999999999998</v>
      </c>
      <c r="K772" s="259">
        <f>1661*(100%+20%)</f>
        <v>1993.1999999999998</v>
      </c>
      <c r="L772" s="69"/>
      <c r="M772" s="77"/>
    </row>
    <row r="773" spans="1:11" ht="15" customHeight="1" thickBot="1">
      <c r="A773" s="168"/>
      <c r="B773" s="162" t="s">
        <v>244</v>
      </c>
      <c r="C773" s="176" t="s">
        <v>9</v>
      </c>
      <c r="D773" s="257">
        <f>1065*(100%+20%)</f>
        <v>1278</v>
      </c>
      <c r="E773" s="258">
        <f>1162*(100%+20%)</f>
        <v>1394.3999999999999</v>
      </c>
      <c r="F773" s="258">
        <f>1418*(100%+20%)</f>
        <v>1701.6</v>
      </c>
      <c r="G773" s="259">
        <f>1418*(100%+20%)</f>
        <v>1701.6</v>
      </c>
      <c r="H773" s="257">
        <f>1381*(100%+20%)</f>
        <v>1657.2</v>
      </c>
      <c r="I773" s="258">
        <f>1478*(100%+20%)</f>
        <v>1773.6</v>
      </c>
      <c r="J773" s="258">
        <f>1734*(100%+20%)</f>
        <v>2080.7999999999997</v>
      </c>
      <c r="K773" s="259">
        <f>1734*(100%+20%)</f>
        <v>2080.7999999999997</v>
      </c>
    </row>
    <row r="774" spans="1:11" ht="15" customHeight="1" thickBot="1">
      <c r="A774" s="168"/>
      <c r="B774" s="162" t="s">
        <v>245</v>
      </c>
      <c r="C774" s="176" t="s">
        <v>30</v>
      </c>
      <c r="D774" s="257">
        <f>301*(100%+20%)</f>
        <v>361.2</v>
      </c>
      <c r="E774" s="258">
        <f>349*(100%+20%)</f>
        <v>418.8</v>
      </c>
      <c r="F774" s="258">
        <f>476*(100%+20%)</f>
        <v>571.1999999999999</v>
      </c>
      <c r="G774" s="259">
        <f>476*(100%+20%)</f>
        <v>571.1999999999999</v>
      </c>
      <c r="H774" s="257">
        <f>681*(100%+20%)</f>
        <v>817.1999999999999</v>
      </c>
      <c r="I774" s="258">
        <f>728*(100%+20%)</f>
        <v>873.6</v>
      </c>
      <c r="J774" s="258">
        <f>855*(100%+20%)</f>
        <v>1026</v>
      </c>
      <c r="K774" s="259">
        <f>855*(100%+20%)</f>
        <v>1026</v>
      </c>
    </row>
    <row r="775" spans="1:11" ht="15" customHeight="1" thickBot="1">
      <c r="A775" s="168"/>
      <c r="B775" s="162" t="s">
        <v>246</v>
      </c>
      <c r="C775" s="176" t="s">
        <v>9</v>
      </c>
      <c r="D775" s="257">
        <f>1219*(100%+20%)</f>
        <v>1462.8</v>
      </c>
      <c r="E775" s="258">
        <f>1330*(100%+20%)</f>
        <v>1596</v>
      </c>
      <c r="F775" s="258">
        <f>1625*(100%+20%)</f>
        <v>1950</v>
      </c>
      <c r="G775" s="259">
        <f>1625*(100%+20%)</f>
        <v>1950</v>
      </c>
      <c r="H775" s="257">
        <f>1598*(100%+20%)</f>
        <v>1917.6</v>
      </c>
      <c r="I775" s="258">
        <f>1708*(100%+20%)</f>
        <v>2049.6</v>
      </c>
      <c r="J775" s="258">
        <f>2004*(100%+20%)</f>
        <v>2404.7999999999997</v>
      </c>
      <c r="K775" s="259">
        <f>2004*(100%+20%)</f>
        <v>2404.7999999999997</v>
      </c>
    </row>
    <row r="776" spans="1:13" ht="15" customHeight="1">
      <c r="A776" s="78" t="s">
        <v>1308</v>
      </c>
      <c r="B776" s="162" t="s">
        <v>247</v>
      </c>
      <c r="C776" s="176" t="s">
        <v>9</v>
      </c>
      <c r="D776" s="257">
        <f>1248*(100%+20%)</f>
        <v>1497.6</v>
      </c>
      <c r="E776" s="258">
        <f>1363*(100%+20%)</f>
        <v>1635.6</v>
      </c>
      <c r="F776" s="258">
        <f>1663*(100%+20%)</f>
        <v>1995.6</v>
      </c>
      <c r="G776" s="259">
        <f>1663*(100%+20%)</f>
        <v>1995.6</v>
      </c>
      <c r="H776" s="257">
        <f>1627*(100%+20%)</f>
        <v>1952.3999999999999</v>
      </c>
      <c r="I776" s="258">
        <f>1742*(100%+20%)</f>
        <v>2090.4</v>
      </c>
      <c r="J776" s="258">
        <f>2042*(100%+20%)</f>
        <v>2450.4</v>
      </c>
      <c r="K776" s="259">
        <f>2042*(100%+20%)</f>
        <v>2450.4</v>
      </c>
      <c r="L776" s="69"/>
      <c r="M776" s="44"/>
    </row>
    <row r="777" spans="1:13" ht="15" customHeight="1">
      <c r="A777" s="95"/>
      <c r="B777" s="162" t="s">
        <v>1488</v>
      </c>
      <c r="C777" s="176" t="s">
        <v>9</v>
      </c>
      <c r="D777" s="257">
        <f>164*(100%+20%)</f>
        <v>196.79999999999998</v>
      </c>
      <c r="E777" s="258">
        <f>177*(100%+20%)</f>
        <v>212.4</v>
      </c>
      <c r="F777" s="258">
        <f>214*(100%+20%)</f>
        <v>256.8</v>
      </c>
      <c r="G777" s="259">
        <f>214*(100%+20%)</f>
        <v>256.8</v>
      </c>
      <c r="H777" s="257">
        <f>196*(100%+20%)</f>
        <v>235.2</v>
      </c>
      <c r="I777" s="258">
        <f>209*(100%+20%)</f>
        <v>250.79999999999998</v>
      </c>
      <c r="J777" s="258">
        <f>246*(100%+20%)</f>
        <v>295.2</v>
      </c>
      <c r="K777" s="259">
        <f>246*(100%+20%)</f>
        <v>295.2</v>
      </c>
      <c r="L777" s="69"/>
      <c r="M777" s="44"/>
    </row>
    <row r="778" spans="1:13" ht="15" customHeight="1" thickBot="1">
      <c r="A778" s="74" t="s">
        <v>1309</v>
      </c>
      <c r="B778" s="163" t="s">
        <v>1489</v>
      </c>
      <c r="C778" s="178" t="s">
        <v>9</v>
      </c>
      <c r="D778" s="260">
        <f>130*(100%+20%)</f>
        <v>156</v>
      </c>
      <c r="E778" s="261">
        <f>141*(100%+20%)</f>
        <v>169.2</v>
      </c>
      <c r="F778" s="261">
        <f>171*(100%+20%)</f>
        <v>205.2</v>
      </c>
      <c r="G778" s="262">
        <f>171*(100%+20%)</f>
        <v>205.2</v>
      </c>
      <c r="H778" s="260">
        <f>162*(100%+20%)</f>
        <v>194.4</v>
      </c>
      <c r="I778" s="261">
        <f>173*(100%+20%)</f>
        <v>207.6</v>
      </c>
      <c r="J778" s="261">
        <f>203*(100%+20%)</f>
        <v>243.6</v>
      </c>
      <c r="K778" s="262">
        <f>203*(100%+20%)</f>
        <v>243.6</v>
      </c>
      <c r="L778" s="69"/>
      <c r="M778" s="44"/>
    </row>
    <row r="779" spans="1:13" ht="21" customHeight="1" thickBot="1">
      <c r="A779" s="74" t="s">
        <v>1310</v>
      </c>
      <c r="B779" s="325" t="s">
        <v>102</v>
      </c>
      <c r="C779" s="326"/>
      <c r="D779" s="337"/>
      <c r="E779" s="337"/>
      <c r="F779" s="337"/>
      <c r="G779" s="337"/>
      <c r="H779" s="337"/>
      <c r="I779" s="337"/>
      <c r="J779" s="337"/>
      <c r="K779" s="338"/>
      <c r="L779" s="69"/>
      <c r="M779" s="44"/>
    </row>
    <row r="780" spans="1:13" ht="15" customHeight="1" thickBot="1">
      <c r="A780" s="21" t="s">
        <v>1311</v>
      </c>
      <c r="B780" s="314" t="s">
        <v>97</v>
      </c>
      <c r="C780" s="312" t="s">
        <v>1379</v>
      </c>
      <c r="D780" s="316" t="s">
        <v>845</v>
      </c>
      <c r="E780" s="317"/>
      <c r="F780" s="317"/>
      <c r="G780" s="317"/>
      <c r="H780" s="316" t="s">
        <v>846</v>
      </c>
      <c r="I780" s="317"/>
      <c r="J780" s="317"/>
      <c r="K780" s="318"/>
      <c r="L780" s="69"/>
      <c r="M780" s="44"/>
    </row>
    <row r="781" spans="1:13" ht="15" customHeight="1" thickBot="1">
      <c r="A781" s="21" t="s">
        <v>1312</v>
      </c>
      <c r="B781" s="315"/>
      <c r="C781" s="313"/>
      <c r="D781" s="106" t="s">
        <v>847</v>
      </c>
      <c r="E781" s="105" t="s">
        <v>4</v>
      </c>
      <c r="F781" s="103" t="s">
        <v>5</v>
      </c>
      <c r="G781" s="105" t="s">
        <v>1420</v>
      </c>
      <c r="H781" s="103" t="s">
        <v>847</v>
      </c>
      <c r="I781" s="105" t="s">
        <v>4</v>
      </c>
      <c r="J781" s="103" t="s">
        <v>5</v>
      </c>
      <c r="K781" s="105" t="s">
        <v>1420</v>
      </c>
      <c r="L781" s="69"/>
      <c r="M781" s="44"/>
    </row>
    <row r="782" spans="1:13" ht="15" customHeight="1">
      <c r="A782" s="74" t="s">
        <v>1313</v>
      </c>
      <c r="B782" s="161" t="s">
        <v>201</v>
      </c>
      <c r="C782" s="175" t="s">
        <v>30</v>
      </c>
      <c r="D782" s="253">
        <f>654*(100%+20%)</f>
        <v>784.8</v>
      </c>
      <c r="E782" s="254">
        <f>722*(100%+20%)</f>
        <v>866.4</v>
      </c>
      <c r="F782" s="255">
        <f>900*(100%+20%)</f>
        <v>1080</v>
      </c>
      <c r="G782" s="256">
        <f>900*(100%+20%)</f>
        <v>1080</v>
      </c>
      <c r="H782" s="253">
        <f>970*(100%+20%)</f>
        <v>1164</v>
      </c>
      <c r="I782" s="254">
        <f>1038*(100%+20%)</f>
        <v>1245.6</v>
      </c>
      <c r="J782" s="255">
        <f>1216*(100%+20%)</f>
        <v>1459.2</v>
      </c>
      <c r="K782" s="256">
        <f>1216*(100%+20%)</f>
        <v>1459.2</v>
      </c>
      <c r="L782" s="69"/>
      <c r="M782" s="44"/>
    </row>
    <row r="783" spans="1:13" ht="15" customHeight="1">
      <c r="A783" s="74" t="s">
        <v>1314</v>
      </c>
      <c r="B783" s="162" t="s">
        <v>202</v>
      </c>
      <c r="C783" s="176" t="s">
        <v>9</v>
      </c>
      <c r="D783" s="257">
        <f>1620*(100%+20%)</f>
        <v>1944</v>
      </c>
      <c r="E783" s="258">
        <f>1756*(100%+20%)</f>
        <v>2107.2</v>
      </c>
      <c r="F783" s="258">
        <f>2113*(100%+20%)</f>
        <v>2535.6</v>
      </c>
      <c r="G783" s="259">
        <f>2113*(100%+20%)</f>
        <v>2535.6</v>
      </c>
      <c r="H783" s="257">
        <f>1936*(100%+20%)</f>
        <v>2323.2</v>
      </c>
      <c r="I783" s="258">
        <f>2073*(100%+20%)</f>
        <v>2487.6</v>
      </c>
      <c r="J783" s="258">
        <f>2429*(100%+20%)</f>
        <v>2914.7999999999997</v>
      </c>
      <c r="K783" s="259">
        <f>2429*(100%+20%)</f>
        <v>2914.7999999999997</v>
      </c>
      <c r="L783" s="69"/>
      <c r="M783" s="44"/>
    </row>
    <row r="784" spans="1:13" ht="15" customHeight="1">
      <c r="A784" s="74" t="s">
        <v>1315</v>
      </c>
      <c r="B784" s="162" t="s">
        <v>203</v>
      </c>
      <c r="C784" s="176" t="s">
        <v>9</v>
      </c>
      <c r="D784" s="257">
        <f>1620*(100%+20%)</f>
        <v>1944</v>
      </c>
      <c r="E784" s="258">
        <f>1756*(100%+20%)</f>
        <v>2107.2</v>
      </c>
      <c r="F784" s="258">
        <f>2113*(100%+20%)</f>
        <v>2535.6</v>
      </c>
      <c r="G784" s="259">
        <f>2113*(100%+20%)</f>
        <v>2535.6</v>
      </c>
      <c r="H784" s="257">
        <f>1936*(100%+20%)</f>
        <v>2323.2</v>
      </c>
      <c r="I784" s="258">
        <f>2073*(100%+20%)</f>
        <v>2487.6</v>
      </c>
      <c r="J784" s="258">
        <f>2429*(100%+20%)</f>
        <v>2914.7999999999997</v>
      </c>
      <c r="K784" s="259">
        <f>2429*(100%+20%)</f>
        <v>2914.7999999999997</v>
      </c>
      <c r="L784" s="69"/>
      <c r="M784" s="44"/>
    </row>
    <row r="785" spans="1:13" ht="15" customHeight="1">
      <c r="A785" s="74" t="s">
        <v>1316</v>
      </c>
      <c r="B785" s="162" t="s">
        <v>204</v>
      </c>
      <c r="C785" s="176" t="s">
        <v>30</v>
      </c>
      <c r="D785" s="257">
        <f>734*(100%+20%)</f>
        <v>880.8</v>
      </c>
      <c r="E785" s="258">
        <f>812*(100%+20%)</f>
        <v>974.4</v>
      </c>
      <c r="F785" s="258">
        <f>1017*(100%+20%)</f>
        <v>1220.3999999999999</v>
      </c>
      <c r="G785" s="259">
        <f>1017*(100%+20%)</f>
        <v>1220.3999999999999</v>
      </c>
      <c r="H785" s="257">
        <f>1113*(100%+20%)</f>
        <v>1335.6</v>
      </c>
      <c r="I785" s="258">
        <f>1192*(100%+20%)</f>
        <v>1430.3999999999999</v>
      </c>
      <c r="J785" s="258">
        <f>1397*(100%+20%)</f>
        <v>1676.3999999999999</v>
      </c>
      <c r="K785" s="259">
        <f>1397*(100%+20%)</f>
        <v>1676.3999999999999</v>
      </c>
      <c r="L785" s="69"/>
      <c r="M785" s="44"/>
    </row>
    <row r="786" spans="1:13" ht="15" customHeight="1">
      <c r="A786" s="74" t="s">
        <v>1317</v>
      </c>
      <c r="B786" s="162" t="s">
        <v>205</v>
      </c>
      <c r="C786" s="176" t="s">
        <v>9</v>
      </c>
      <c r="D786" s="257">
        <f>1809*(100%+20%)</f>
        <v>2170.7999999999997</v>
      </c>
      <c r="E786" s="258">
        <f>1963*(100%+20%)</f>
        <v>2355.6</v>
      </c>
      <c r="F786" s="258">
        <f>2367*(100%+20%)</f>
        <v>2840.4</v>
      </c>
      <c r="G786" s="259">
        <f>2367*(100%+20%)</f>
        <v>2840.4</v>
      </c>
      <c r="H786" s="257">
        <f>2188*(100%+20%)</f>
        <v>2625.6</v>
      </c>
      <c r="I786" s="258">
        <f>2342*(100%+20%)</f>
        <v>2810.4</v>
      </c>
      <c r="J786" s="258">
        <f>2745*(100%+20%)</f>
        <v>3294</v>
      </c>
      <c r="K786" s="259">
        <f>2745*(100%+20%)</f>
        <v>3294</v>
      </c>
      <c r="L786" s="69"/>
      <c r="M786" s="44"/>
    </row>
    <row r="787" spans="1:13" ht="15" customHeight="1" thickBot="1">
      <c r="A787" s="74" t="s">
        <v>1318</v>
      </c>
      <c r="B787" s="163" t="s">
        <v>206</v>
      </c>
      <c r="C787" s="178" t="s">
        <v>9</v>
      </c>
      <c r="D787" s="260">
        <f>1809*(100%+20%)</f>
        <v>2170.7999999999997</v>
      </c>
      <c r="E787" s="261">
        <f>1963*(100%+20%)</f>
        <v>2355.6</v>
      </c>
      <c r="F787" s="261">
        <f>2367*(100%+20%)</f>
        <v>2840.4</v>
      </c>
      <c r="G787" s="262">
        <f>2367*(100%+20%)</f>
        <v>2840.4</v>
      </c>
      <c r="H787" s="260">
        <f>2188*(100%+20%)</f>
        <v>2625.6</v>
      </c>
      <c r="I787" s="261">
        <f>2342*(100%+20%)</f>
        <v>2810.4</v>
      </c>
      <c r="J787" s="261">
        <f>2745*(100%+20%)</f>
        <v>3294</v>
      </c>
      <c r="K787" s="262">
        <f>2745*(100%+20%)</f>
        <v>3294</v>
      </c>
      <c r="L787" s="69"/>
      <c r="M787" s="44"/>
    </row>
    <row r="788" spans="1:13" ht="21" customHeight="1" thickBot="1">
      <c r="A788" s="74" t="s">
        <v>1319</v>
      </c>
      <c r="B788" s="325" t="s">
        <v>128</v>
      </c>
      <c r="C788" s="326"/>
      <c r="D788" s="337"/>
      <c r="E788" s="337"/>
      <c r="F788" s="337"/>
      <c r="G788" s="337"/>
      <c r="H788" s="337"/>
      <c r="I788" s="337"/>
      <c r="J788" s="337"/>
      <c r="K788" s="338"/>
      <c r="L788" s="69"/>
      <c r="M788" s="44"/>
    </row>
    <row r="789" spans="1:13" ht="15" customHeight="1" thickBot="1">
      <c r="A789" s="21" t="s">
        <v>1320</v>
      </c>
      <c r="B789" s="314" t="s">
        <v>97</v>
      </c>
      <c r="C789" s="312" t="s">
        <v>1379</v>
      </c>
      <c r="D789" s="316" t="s">
        <v>845</v>
      </c>
      <c r="E789" s="317"/>
      <c r="F789" s="317"/>
      <c r="G789" s="318"/>
      <c r="H789" s="316" t="s">
        <v>846</v>
      </c>
      <c r="I789" s="317"/>
      <c r="J789" s="317"/>
      <c r="K789" s="318"/>
      <c r="L789" s="69"/>
      <c r="M789" s="44"/>
    </row>
    <row r="790" spans="1:13" ht="15" customHeight="1" thickBot="1">
      <c r="A790" s="21" t="s">
        <v>1321</v>
      </c>
      <c r="B790" s="315"/>
      <c r="C790" s="313"/>
      <c r="D790" s="106" t="s">
        <v>847</v>
      </c>
      <c r="E790" s="105" t="s">
        <v>4</v>
      </c>
      <c r="F790" s="103" t="s">
        <v>5</v>
      </c>
      <c r="G790" s="105" t="s">
        <v>1420</v>
      </c>
      <c r="H790" s="103" t="s">
        <v>847</v>
      </c>
      <c r="I790" s="105" t="s">
        <v>4</v>
      </c>
      <c r="J790" s="103" t="s">
        <v>5</v>
      </c>
      <c r="K790" s="105" t="s">
        <v>1420</v>
      </c>
      <c r="L790" s="69"/>
      <c r="M790" s="44"/>
    </row>
    <row r="791" spans="1:13" ht="15" customHeight="1">
      <c r="A791" s="74" t="s">
        <v>1322</v>
      </c>
      <c r="B791" s="161" t="s">
        <v>207</v>
      </c>
      <c r="C791" s="175" t="s">
        <v>30</v>
      </c>
      <c r="D791" s="253">
        <f>654*(100%+20%)</f>
        <v>784.8</v>
      </c>
      <c r="E791" s="254">
        <f>722*(100%+20%)</f>
        <v>866.4</v>
      </c>
      <c r="F791" s="255">
        <f>900*(100%+20%)</f>
        <v>1080</v>
      </c>
      <c r="G791" s="256">
        <f>900*(100%+20%)</f>
        <v>1080</v>
      </c>
      <c r="H791" s="253">
        <f>970*(100%+20%)</f>
        <v>1164</v>
      </c>
      <c r="I791" s="254">
        <f>1038*(100%+20%)</f>
        <v>1245.6</v>
      </c>
      <c r="J791" s="255">
        <f>1216*(100%+20%)</f>
        <v>1459.2</v>
      </c>
      <c r="K791" s="256">
        <f>1216*(100%+20%)</f>
        <v>1459.2</v>
      </c>
      <c r="L791" s="69"/>
      <c r="M791" s="44"/>
    </row>
    <row r="792" spans="1:13" ht="15" customHeight="1">
      <c r="A792" s="74" t="s">
        <v>1323</v>
      </c>
      <c r="B792" s="162" t="s">
        <v>208</v>
      </c>
      <c r="C792" s="176" t="s">
        <v>9</v>
      </c>
      <c r="D792" s="257">
        <f>1688*(100%+20%)</f>
        <v>2025.6</v>
      </c>
      <c r="E792" s="258">
        <f>1828*(100%+20%)</f>
        <v>2193.6</v>
      </c>
      <c r="F792" s="258">
        <f>2197*(100%+20%)</f>
        <v>2636.4</v>
      </c>
      <c r="G792" s="259">
        <f>2197*(100%+20%)</f>
        <v>2636.4</v>
      </c>
      <c r="H792" s="257">
        <f>2004*(100%+20%)</f>
        <v>2404.7999999999997</v>
      </c>
      <c r="I792" s="258">
        <f>2144*(100%+20%)</f>
        <v>2572.7999999999997</v>
      </c>
      <c r="J792" s="258">
        <f>2513*(100%+20%)</f>
        <v>3015.6</v>
      </c>
      <c r="K792" s="259">
        <f>2513*(100%+20%)</f>
        <v>3015.6</v>
      </c>
      <c r="L792" s="69"/>
      <c r="M792" s="44"/>
    </row>
    <row r="793" spans="1:13" ht="15" customHeight="1">
      <c r="A793" s="74" t="s">
        <v>1324</v>
      </c>
      <c r="B793" s="162" t="s">
        <v>209</v>
      </c>
      <c r="C793" s="176" t="s">
        <v>9</v>
      </c>
      <c r="D793" s="257">
        <f>1688*(100%+20%)</f>
        <v>2025.6</v>
      </c>
      <c r="E793" s="258">
        <f>1828*(100%+20%)</f>
        <v>2193.6</v>
      </c>
      <c r="F793" s="258">
        <f>2197*(100%+20%)</f>
        <v>2636.4</v>
      </c>
      <c r="G793" s="259">
        <f>2197*(100%+20%)</f>
        <v>2636.4</v>
      </c>
      <c r="H793" s="257">
        <f>2004*(100%+20%)</f>
        <v>2404.7999999999997</v>
      </c>
      <c r="I793" s="258">
        <f>2144*(100%+20%)</f>
        <v>2572.7999999999997</v>
      </c>
      <c r="J793" s="258">
        <f>2513*(100%+20%)</f>
        <v>3015.6</v>
      </c>
      <c r="K793" s="259">
        <f>2513*(100%+20%)</f>
        <v>3015.6</v>
      </c>
      <c r="L793" s="69"/>
      <c r="M793" s="44"/>
    </row>
    <row r="794" spans="1:13" ht="15" customHeight="1">
      <c r="A794" s="74" t="s">
        <v>1325</v>
      </c>
      <c r="B794" s="162" t="s">
        <v>210</v>
      </c>
      <c r="C794" s="176" t="s">
        <v>30</v>
      </c>
      <c r="D794" s="257">
        <f>802*(100%+20%)</f>
        <v>962.4</v>
      </c>
      <c r="E794" s="258">
        <f>886*(100%+20%)</f>
        <v>1063.2</v>
      </c>
      <c r="F794" s="258">
        <f>1103*(100%+20%)</f>
        <v>1323.6</v>
      </c>
      <c r="G794" s="259">
        <f>1103*(100%+20%)</f>
        <v>1323.6</v>
      </c>
      <c r="H794" s="257">
        <f>1181*(100%+20%)</f>
        <v>1417.2</v>
      </c>
      <c r="I794" s="258">
        <f>1264*(100%+20%)</f>
        <v>1516.8</v>
      </c>
      <c r="J794" s="258">
        <f>1482*(100%+20%)</f>
        <v>1778.3999999999999</v>
      </c>
      <c r="K794" s="259">
        <f>1482*(100%+20%)</f>
        <v>1778.3999999999999</v>
      </c>
      <c r="L794" s="69"/>
      <c r="M794" s="44"/>
    </row>
    <row r="795" spans="1:13" ht="15" customHeight="1">
      <c r="A795" s="75" t="s">
        <v>1326</v>
      </c>
      <c r="B795" s="162" t="s">
        <v>211</v>
      </c>
      <c r="C795" s="176" t="s">
        <v>9</v>
      </c>
      <c r="D795" s="257">
        <f>1878*(100%+20%)</f>
        <v>2253.6</v>
      </c>
      <c r="E795" s="258">
        <f>2037*(100%+20%)</f>
        <v>2444.4</v>
      </c>
      <c r="F795" s="258">
        <f>2453*(100%+20%)</f>
        <v>2943.6</v>
      </c>
      <c r="G795" s="259">
        <f>2453*(100%+20%)</f>
        <v>2943.6</v>
      </c>
      <c r="H795" s="257">
        <f>2257*(100%+20%)</f>
        <v>2708.4</v>
      </c>
      <c r="I795" s="258">
        <f>2416*(100%+20%)</f>
        <v>2899.2</v>
      </c>
      <c r="J795" s="258">
        <f>2831*(100%+20%)</f>
        <v>3397.2</v>
      </c>
      <c r="K795" s="259">
        <f>2831*(100%+20%)</f>
        <v>3397.2</v>
      </c>
      <c r="L795" s="69"/>
      <c r="M795" s="44"/>
    </row>
    <row r="796" spans="1:13" ht="15" customHeight="1" thickBot="1">
      <c r="A796" s="75" t="s">
        <v>1327</v>
      </c>
      <c r="B796" s="163" t="s">
        <v>212</v>
      </c>
      <c r="C796" s="178" t="s">
        <v>9</v>
      </c>
      <c r="D796" s="260">
        <f>1878*(100%+20%)</f>
        <v>2253.6</v>
      </c>
      <c r="E796" s="261">
        <f>2037*(100%+20%)</f>
        <v>2444.4</v>
      </c>
      <c r="F796" s="261">
        <f>2453*(100%+20%)</f>
        <v>2943.6</v>
      </c>
      <c r="G796" s="262">
        <f>2453*(100%+20%)</f>
        <v>2943.6</v>
      </c>
      <c r="H796" s="260">
        <f>2257*(100%+20%)</f>
        <v>2708.4</v>
      </c>
      <c r="I796" s="261">
        <f>2416*(100%+20%)</f>
        <v>2899.2</v>
      </c>
      <c r="J796" s="261">
        <f>2831*(100%+20%)</f>
        <v>3397.2</v>
      </c>
      <c r="K796" s="262">
        <f>2831*(100%+20%)</f>
        <v>3397.2</v>
      </c>
      <c r="L796" s="69"/>
      <c r="M796" s="44"/>
    </row>
    <row r="797" spans="1:11" ht="21" customHeight="1" thickBot="1">
      <c r="A797" s="33"/>
      <c r="B797" s="325" t="s">
        <v>129</v>
      </c>
      <c r="C797" s="326"/>
      <c r="D797" s="337"/>
      <c r="E797" s="337"/>
      <c r="F797" s="337"/>
      <c r="G797" s="337"/>
      <c r="H797" s="337"/>
      <c r="I797" s="337"/>
      <c r="J797" s="337"/>
      <c r="K797" s="338"/>
    </row>
    <row r="798" spans="1:11" ht="15" customHeight="1" thickBot="1">
      <c r="A798" s="34"/>
      <c r="B798" s="314" t="s">
        <v>97</v>
      </c>
      <c r="C798" s="312" t="s">
        <v>1379</v>
      </c>
      <c r="D798" s="316" t="s">
        <v>845</v>
      </c>
      <c r="E798" s="317"/>
      <c r="F798" s="317"/>
      <c r="G798" s="318"/>
      <c r="H798" s="316" t="s">
        <v>846</v>
      </c>
      <c r="I798" s="317"/>
      <c r="J798" s="317"/>
      <c r="K798" s="318"/>
    </row>
    <row r="799" spans="1:13" ht="15" customHeight="1" thickBot="1">
      <c r="A799" s="30" t="s">
        <v>1328</v>
      </c>
      <c r="B799" s="315"/>
      <c r="C799" s="313"/>
      <c r="D799" s="106" t="s">
        <v>847</v>
      </c>
      <c r="E799" s="105" t="s">
        <v>4</v>
      </c>
      <c r="F799" s="103" t="s">
        <v>5</v>
      </c>
      <c r="G799" s="105" t="s">
        <v>1420</v>
      </c>
      <c r="H799" s="103" t="s">
        <v>847</v>
      </c>
      <c r="I799" s="105" t="s">
        <v>4</v>
      </c>
      <c r="J799" s="103" t="s">
        <v>5</v>
      </c>
      <c r="K799" s="105" t="s">
        <v>1420</v>
      </c>
      <c r="L799" s="69"/>
      <c r="M799" s="44"/>
    </row>
    <row r="800" spans="1:13" ht="15" customHeight="1">
      <c r="A800" s="97" t="s">
        <v>1329</v>
      </c>
      <c r="B800" s="161" t="s">
        <v>216</v>
      </c>
      <c r="C800" s="175" t="s">
        <v>30</v>
      </c>
      <c r="D800" s="253">
        <f>654*(100%+20%)</f>
        <v>784.8</v>
      </c>
      <c r="E800" s="254">
        <f>722*(100%+20%)</f>
        <v>866.4</v>
      </c>
      <c r="F800" s="255">
        <f>900*(100%+20%)</f>
        <v>1080</v>
      </c>
      <c r="G800" s="256">
        <f>900*(100%+20%)</f>
        <v>1080</v>
      </c>
      <c r="H800" s="253">
        <f>970*(100%+20%)</f>
        <v>1164</v>
      </c>
      <c r="I800" s="254">
        <f>1038*(100%+20%)</f>
        <v>1245.6</v>
      </c>
      <c r="J800" s="255">
        <f>1216*(100%+20%)</f>
        <v>1459.2</v>
      </c>
      <c r="K800" s="256">
        <f>1216*(100%+20%)</f>
        <v>1459.2</v>
      </c>
      <c r="L800" s="69"/>
      <c r="M800" s="44"/>
    </row>
    <row r="801" spans="1:13" ht="15" customHeight="1">
      <c r="A801" s="97" t="s">
        <v>1330</v>
      </c>
      <c r="B801" s="162" t="s">
        <v>217</v>
      </c>
      <c r="C801" s="176" t="s">
        <v>9</v>
      </c>
      <c r="D801" s="257">
        <f>1620*(100%+20%)</f>
        <v>1944</v>
      </c>
      <c r="E801" s="258">
        <f>1756*(100%+20%)</f>
        <v>2107.2</v>
      </c>
      <c r="F801" s="258">
        <f>2113*(100%+20%)</f>
        <v>2535.6</v>
      </c>
      <c r="G801" s="259">
        <f>2113*(100%+20%)</f>
        <v>2535.6</v>
      </c>
      <c r="H801" s="257">
        <f>1936*(100%+20%)</f>
        <v>2323.2</v>
      </c>
      <c r="I801" s="258">
        <f>2073*(100%+20%)</f>
        <v>2487.6</v>
      </c>
      <c r="J801" s="258">
        <f>2429*(100%+20%)</f>
        <v>2914.7999999999997</v>
      </c>
      <c r="K801" s="259">
        <f>2429*(100%+20%)</f>
        <v>2914.7999999999997</v>
      </c>
      <c r="L801" s="69"/>
      <c r="M801" s="44"/>
    </row>
    <row r="802" spans="1:13" ht="15" customHeight="1">
      <c r="A802" s="74" t="s">
        <v>1331</v>
      </c>
      <c r="B802" s="162" t="s">
        <v>218</v>
      </c>
      <c r="C802" s="176" t="s">
        <v>9</v>
      </c>
      <c r="D802" s="257">
        <f>1620*(100%+20%)</f>
        <v>1944</v>
      </c>
      <c r="E802" s="258">
        <f>1756*(100%+20%)</f>
        <v>2107.2</v>
      </c>
      <c r="F802" s="258">
        <f>2113*(100%+20%)</f>
        <v>2535.6</v>
      </c>
      <c r="G802" s="259">
        <f>2113*(100%+20%)</f>
        <v>2535.6</v>
      </c>
      <c r="H802" s="257">
        <f>1936*(100%+20%)</f>
        <v>2323.2</v>
      </c>
      <c r="I802" s="258">
        <f>2073*(100%+20%)</f>
        <v>2487.6</v>
      </c>
      <c r="J802" s="258">
        <f>2429*(100%+20%)</f>
        <v>2914.7999999999997</v>
      </c>
      <c r="K802" s="259">
        <f>2429*(100%+20%)</f>
        <v>2914.7999999999997</v>
      </c>
      <c r="L802" s="69"/>
      <c r="M802" s="44"/>
    </row>
    <row r="803" spans="1:13" ht="15" customHeight="1">
      <c r="A803" s="95" t="s">
        <v>1332</v>
      </c>
      <c r="B803" s="162" t="s">
        <v>219</v>
      </c>
      <c r="C803" s="176" t="s">
        <v>30</v>
      </c>
      <c r="D803" s="257">
        <f>734*(100%+20%)</f>
        <v>880.8</v>
      </c>
      <c r="E803" s="258">
        <f>812*(100%+20%)</f>
        <v>974.4</v>
      </c>
      <c r="F803" s="258">
        <f>1017*(100%+20%)</f>
        <v>1220.3999999999999</v>
      </c>
      <c r="G803" s="259">
        <f>1017*(100%+20%)</f>
        <v>1220.3999999999999</v>
      </c>
      <c r="H803" s="257">
        <f>1113*(100%+20%)</f>
        <v>1335.6</v>
      </c>
      <c r="I803" s="258">
        <f>1192*(100%+20%)</f>
        <v>1430.3999999999999</v>
      </c>
      <c r="J803" s="258">
        <f>1397*(100%+20%)</f>
        <v>1676.3999999999999</v>
      </c>
      <c r="K803" s="259">
        <f>1397*(100%+20%)</f>
        <v>1676.3999999999999</v>
      </c>
      <c r="L803" s="69"/>
      <c r="M803" s="44"/>
    </row>
    <row r="804" spans="1:13" ht="15" customHeight="1" thickBot="1">
      <c r="A804" s="99" t="s">
        <v>1333</v>
      </c>
      <c r="B804" s="162" t="s">
        <v>220</v>
      </c>
      <c r="C804" s="176" t="s">
        <v>9</v>
      </c>
      <c r="D804" s="257">
        <f>1809*(100%+20%)</f>
        <v>2170.7999999999997</v>
      </c>
      <c r="E804" s="258">
        <f>1963*(100%+20%)</f>
        <v>2355.6</v>
      </c>
      <c r="F804" s="258">
        <f>2367*(100%+20%)</f>
        <v>2840.4</v>
      </c>
      <c r="G804" s="259">
        <f>2367*(100%+20%)</f>
        <v>2840.4</v>
      </c>
      <c r="H804" s="257">
        <f>2188*(100%+20%)</f>
        <v>2625.6</v>
      </c>
      <c r="I804" s="258">
        <f>2342*(100%+20%)</f>
        <v>2810.4</v>
      </c>
      <c r="J804" s="258">
        <f>2745*(100%+20%)</f>
        <v>3294</v>
      </c>
      <c r="K804" s="259">
        <f>2745*(100%+20%)</f>
        <v>3294</v>
      </c>
      <c r="L804" s="69"/>
      <c r="M804" s="44"/>
    </row>
    <row r="805" spans="1:11" ht="15" customHeight="1" thickBot="1">
      <c r="A805" s="34"/>
      <c r="B805" s="163" t="s">
        <v>221</v>
      </c>
      <c r="C805" s="178" t="s">
        <v>9</v>
      </c>
      <c r="D805" s="260">
        <f>1809*(100%+20%)</f>
        <v>2170.7999999999997</v>
      </c>
      <c r="E805" s="261">
        <f>1963*(100%+20%)</f>
        <v>2355.6</v>
      </c>
      <c r="F805" s="261">
        <f>2367*(100%+20%)</f>
        <v>2840.4</v>
      </c>
      <c r="G805" s="262">
        <f>2367*(100%+20%)</f>
        <v>2840.4</v>
      </c>
      <c r="H805" s="260">
        <f>2188*(100%+20%)</f>
        <v>2625.6</v>
      </c>
      <c r="I805" s="261">
        <f>2342*(100%+20%)</f>
        <v>2810.4</v>
      </c>
      <c r="J805" s="261">
        <f>2745*(100%+20%)</f>
        <v>3294</v>
      </c>
      <c r="K805" s="262">
        <f>2745*(100%+20%)</f>
        <v>3294</v>
      </c>
    </row>
    <row r="806" spans="1:11" ht="21" customHeight="1" thickBot="1">
      <c r="A806" s="34"/>
      <c r="B806" s="325" t="s">
        <v>130</v>
      </c>
      <c r="C806" s="326"/>
      <c r="D806" s="337"/>
      <c r="E806" s="337"/>
      <c r="F806" s="337"/>
      <c r="G806" s="337"/>
      <c r="H806" s="337"/>
      <c r="I806" s="337"/>
      <c r="J806" s="337"/>
      <c r="K806" s="338"/>
    </row>
    <row r="807" spans="1:11" ht="15" customHeight="1" thickBot="1">
      <c r="A807" s="34"/>
      <c r="B807" s="314" t="s">
        <v>97</v>
      </c>
      <c r="C807" s="312" t="s">
        <v>1379</v>
      </c>
      <c r="D807" s="316" t="s">
        <v>845</v>
      </c>
      <c r="E807" s="317"/>
      <c r="F807" s="317"/>
      <c r="G807" s="318"/>
      <c r="H807" s="316" t="s">
        <v>846</v>
      </c>
      <c r="I807" s="317"/>
      <c r="J807" s="317"/>
      <c r="K807" s="318"/>
    </row>
    <row r="808" spans="1:13" ht="15" customHeight="1" thickBot="1">
      <c r="A808" s="20" t="s">
        <v>1334</v>
      </c>
      <c r="B808" s="315"/>
      <c r="C808" s="313"/>
      <c r="D808" s="106" t="s">
        <v>847</v>
      </c>
      <c r="E808" s="105" t="s">
        <v>4</v>
      </c>
      <c r="F808" s="103" t="s">
        <v>5</v>
      </c>
      <c r="G808" s="105" t="s">
        <v>1420</v>
      </c>
      <c r="H808" s="103" t="s">
        <v>847</v>
      </c>
      <c r="I808" s="105" t="s">
        <v>4</v>
      </c>
      <c r="J808" s="103" t="s">
        <v>5</v>
      </c>
      <c r="K808" s="105" t="s">
        <v>1420</v>
      </c>
      <c r="M808" s="44"/>
    </row>
    <row r="809" spans="1:13" ht="15" customHeight="1">
      <c r="A809" s="74" t="s">
        <v>1335</v>
      </c>
      <c r="B809" s="161" t="s">
        <v>222</v>
      </c>
      <c r="C809" s="175" t="s">
        <v>30</v>
      </c>
      <c r="D809" s="253">
        <f>654*(100%+20%)</f>
        <v>784.8</v>
      </c>
      <c r="E809" s="254">
        <f>722*(100%+20%)</f>
        <v>866.4</v>
      </c>
      <c r="F809" s="255">
        <f>900*(100%+20%)</f>
        <v>1080</v>
      </c>
      <c r="G809" s="256">
        <f>900*(100%+20%)</f>
        <v>1080</v>
      </c>
      <c r="H809" s="253">
        <f>970*(100%+20%)</f>
        <v>1164</v>
      </c>
      <c r="I809" s="254">
        <f>1038*(100%+20%)</f>
        <v>1245.6</v>
      </c>
      <c r="J809" s="255">
        <f>1216*(100%+20%)</f>
        <v>1459.2</v>
      </c>
      <c r="K809" s="256">
        <f>1216*(100%+20%)</f>
        <v>1459.2</v>
      </c>
      <c r="M809" s="44"/>
    </row>
    <row r="810" spans="1:13" ht="15" customHeight="1">
      <c r="A810" s="74" t="s">
        <v>1336</v>
      </c>
      <c r="B810" s="162" t="s">
        <v>223</v>
      </c>
      <c r="C810" s="176" t="s">
        <v>9</v>
      </c>
      <c r="D810" s="257">
        <f>1620*(100%+20%)</f>
        <v>1944</v>
      </c>
      <c r="E810" s="258">
        <f>1756*(100%+20%)</f>
        <v>2107.2</v>
      </c>
      <c r="F810" s="258">
        <f>2113*(100%+20%)</f>
        <v>2535.6</v>
      </c>
      <c r="G810" s="259">
        <f>2113*(100%+20%)</f>
        <v>2535.6</v>
      </c>
      <c r="H810" s="257">
        <f>1936*(100%+20%)</f>
        <v>2323.2</v>
      </c>
      <c r="I810" s="258">
        <f>2073*(100%+20%)</f>
        <v>2487.6</v>
      </c>
      <c r="J810" s="258">
        <f>2429*(100%+20%)</f>
        <v>2914.7999999999997</v>
      </c>
      <c r="K810" s="259">
        <f>2429*(100%+20%)</f>
        <v>2914.7999999999997</v>
      </c>
      <c r="M810" s="44"/>
    </row>
    <row r="811" spans="1:13" ht="15" customHeight="1">
      <c r="A811" s="74" t="s">
        <v>1337</v>
      </c>
      <c r="B811" s="162" t="s">
        <v>224</v>
      </c>
      <c r="C811" s="176" t="s">
        <v>9</v>
      </c>
      <c r="D811" s="257">
        <f>1620*(100%+20%)</f>
        <v>1944</v>
      </c>
      <c r="E811" s="258">
        <f>1756*(100%+20%)</f>
        <v>2107.2</v>
      </c>
      <c r="F811" s="258">
        <f>2113*(100%+20%)</f>
        <v>2535.6</v>
      </c>
      <c r="G811" s="259">
        <f>2113*(100%+20%)</f>
        <v>2535.6</v>
      </c>
      <c r="H811" s="257">
        <f>1936*(100%+20%)</f>
        <v>2323.2</v>
      </c>
      <c r="I811" s="258">
        <f>2073*(100%+20%)</f>
        <v>2487.6</v>
      </c>
      <c r="J811" s="258">
        <f>2429*(100%+20%)</f>
        <v>2914.7999999999997</v>
      </c>
      <c r="K811" s="259">
        <f>2429*(100%+20%)</f>
        <v>2914.7999999999997</v>
      </c>
      <c r="M811" s="44"/>
    </row>
    <row r="812" spans="1:13" ht="15" customHeight="1">
      <c r="A812" s="74" t="s">
        <v>1338</v>
      </c>
      <c r="B812" s="162" t="s">
        <v>225</v>
      </c>
      <c r="C812" s="176" t="s">
        <v>30</v>
      </c>
      <c r="D812" s="257">
        <f>734*(100%+20%)</f>
        <v>880.8</v>
      </c>
      <c r="E812" s="258">
        <f>812*(100%+20%)</f>
        <v>974.4</v>
      </c>
      <c r="F812" s="258">
        <f>1017*(100%+20%)</f>
        <v>1220.3999999999999</v>
      </c>
      <c r="G812" s="259">
        <f>1017*(100%+20%)</f>
        <v>1220.3999999999999</v>
      </c>
      <c r="H812" s="257">
        <f>1113*(100%+20%)</f>
        <v>1335.6</v>
      </c>
      <c r="I812" s="258">
        <f>1192*(100%+20%)</f>
        <v>1430.3999999999999</v>
      </c>
      <c r="J812" s="258">
        <f>1397*(100%+20%)</f>
        <v>1676.3999999999999</v>
      </c>
      <c r="K812" s="259">
        <f>1397*(100%+20%)</f>
        <v>1676.3999999999999</v>
      </c>
      <c r="M812" s="44"/>
    </row>
    <row r="813" spans="1:13" ht="15" customHeight="1" thickBot="1">
      <c r="A813" s="169" t="s">
        <v>1339</v>
      </c>
      <c r="B813" s="162" t="s">
        <v>226</v>
      </c>
      <c r="C813" s="176" t="s">
        <v>9</v>
      </c>
      <c r="D813" s="257">
        <f>1809*(100%+20%)</f>
        <v>2170.7999999999997</v>
      </c>
      <c r="E813" s="258">
        <f>1963*(100%+20%)</f>
        <v>2355.6</v>
      </c>
      <c r="F813" s="258">
        <f>2367*(100%+20%)</f>
        <v>2840.4</v>
      </c>
      <c r="G813" s="259">
        <f>2367*(100%+20%)</f>
        <v>2840.4</v>
      </c>
      <c r="H813" s="257">
        <f>2188*(100%+20%)</f>
        <v>2625.6</v>
      </c>
      <c r="I813" s="258">
        <f>2342*(100%+20%)</f>
        <v>2810.4</v>
      </c>
      <c r="J813" s="258">
        <f>2745*(100%+20%)</f>
        <v>3294</v>
      </c>
      <c r="K813" s="259">
        <f>2745*(100%+20%)</f>
        <v>3294</v>
      </c>
      <c r="M813" s="44"/>
    </row>
    <row r="814" spans="1:13" ht="15" customHeight="1" thickBot="1">
      <c r="A814" s="170" t="s">
        <v>1340</v>
      </c>
      <c r="B814" s="163" t="s">
        <v>227</v>
      </c>
      <c r="C814" s="178" t="s">
        <v>9</v>
      </c>
      <c r="D814" s="260">
        <f>1809*(100%+20%)</f>
        <v>2170.7999999999997</v>
      </c>
      <c r="E814" s="261">
        <f>1963*(100%+20%)</f>
        <v>2355.6</v>
      </c>
      <c r="F814" s="261">
        <f>2367*(100%+20%)</f>
        <v>2840.4</v>
      </c>
      <c r="G814" s="262">
        <f>2367*(100%+20%)</f>
        <v>2840.4</v>
      </c>
      <c r="H814" s="260">
        <f>2188*(100%+20%)</f>
        <v>2625.6</v>
      </c>
      <c r="I814" s="261">
        <f>2342*(100%+20%)</f>
        <v>2810.4</v>
      </c>
      <c r="J814" s="261">
        <f>2745*(100%+20%)</f>
        <v>3294</v>
      </c>
      <c r="K814" s="262">
        <f>2745*(100%+20%)</f>
        <v>3294</v>
      </c>
      <c r="M814" s="44"/>
    </row>
    <row r="815" spans="1:13" ht="21" customHeight="1" thickBot="1">
      <c r="A815" s="74" t="s">
        <v>1341</v>
      </c>
      <c r="B815" s="325" t="s">
        <v>131</v>
      </c>
      <c r="C815" s="326"/>
      <c r="D815" s="337"/>
      <c r="E815" s="337"/>
      <c r="F815" s="337"/>
      <c r="G815" s="337"/>
      <c r="H815" s="337"/>
      <c r="I815" s="337"/>
      <c r="J815" s="337"/>
      <c r="K815" s="338"/>
      <c r="M815" s="44"/>
    </row>
    <row r="816" spans="1:13" ht="15" customHeight="1" thickBot="1">
      <c r="A816" s="21" t="s">
        <v>1342</v>
      </c>
      <c r="B816" s="314" t="s">
        <v>97</v>
      </c>
      <c r="C816" s="312" t="s">
        <v>1379</v>
      </c>
      <c r="D816" s="316" t="s">
        <v>845</v>
      </c>
      <c r="E816" s="317"/>
      <c r="F816" s="317"/>
      <c r="G816" s="318"/>
      <c r="H816" s="316" t="s">
        <v>846</v>
      </c>
      <c r="I816" s="317"/>
      <c r="J816" s="317"/>
      <c r="K816" s="318"/>
      <c r="M816" s="44"/>
    </row>
    <row r="817" spans="1:13" ht="15" customHeight="1" thickBot="1">
      <c r="A817" s="21" t="s">
        <v>1343</v>
      </c>
      <c r="B817" s="315"/>
      <c r="C817" s="313"/>
      <c r="D817" s="106" t="s">
        <v>847</v>
      </c>
      <c r="E817" s="105" t="s">
        <v>4</v>
      </c>
      <c r="F817" s="103" t="s">
        <v>5</v>
      </c>
      <c r="G817" s="105" t="s">
        <v>1420</v>
      </c>
      <c r="H817" s="103" t="s">
        <v>847</v>
      </c>
      <c r="I817" s="105" t="s">
        <v>4</v>
      </c>
      <c r="J817" s="103" t="s">
        <v>5</v>
      </c>
      <c r="K817" s="105" t="s">
        <v>1420</v>
      </c>
      <c r="M817" s="44"/>
    </row>
    <row r="818" spans="1:13" ht="15" customHeight="1">
      <c r="A818" s="74" t="s">
        <v>1344</v>
      </c>
      <c r="B818" s="161" t="s">
        <v>228</v>
      </c>
      <c r="C818" s="175" t="s">
        <v>30</v>
      </c>
      <c r="D818" s="253">
        <f>654*(100%+20%)</f>
        <v>784.8</v>
      </c>
      <c r="E818" s="254">
        <f>722*(100%+20%)</f>
        <v>866.4</v>
      </c>
      <c r="F818" s="255">
        <f>900*(100%+20%)</f>
        <v>1080</v>
      </c>
      <c r="G818" s="256">
        <f>900*(100%+20%)</f>
        <v>1080</v>
      </c>
      <c r="H818" s="253">
        <f>970*(100%+20%)</f>
        <v>1164</v>
      </c>
      <c r="I818" s="254">
        <f>1038*(100%+20%)</f>
        <v>1245.6</v>
      </c>
      <c r="J818" s="255">
        <f>1216*(100%+20%)</f>
        <v>1459.2</v>
      </c>
      <c r="K818" s="256">
        <f>1216*(100%+20%)</f>
        <v>1459.2</v>
      </c>
      <c r="M818" s="44"/>
    </row>
    <row r="819" spans="1:13" ht="15" customHeight="1" thickBot="1">
      <c r="A819" s="169" t="s">
        <v>1345</v>
      </c>
      <c r="B819" s="162" t="s">
        <v>229</v>
      </c>
      <c r="C819" s="176" t="s">
        <v>9</v>
      </c>
      <c r="D819" s="257">
        <f>1620*(100%+20%)</f>
        <v>1944</v>
      </c>
      <c r="E819" s="258">
        <f>1756*(100%+20%)</f>
        <v>2107.2</v>
      </c>
      <c r="F819" s="258">
        <f>2113*(100%+20%)</f>
        <v>2535.6</v>
      </c>
      <c r="G819" s="259">
        <f>2113*(100%+20%)</f>
        <v>2535.6</v>
      </c>
      <c r="H819" s="257">
        <f>1936*(100%+20%)</f>
        <v>2323.2</v>
      </c>
      <c r="I819" s="258">
        <f>2073*(100%+20%)</f>
        <v>2487.6</v>
      </c>
      <c r="J819" s="258">
        <f>2429*(100%+20%)</f>
        <v>2914.7999999999997</v>
      </c>
      <c r="K819" s="259">
        <f>2429*(100%+20%)</f>
        <v>2914.7999999999997</v>
      </c>
      <c r="M819" s="44"/>
    </row>
    <row r="820" spans="1:13" ht="15" customHeight="1">
      <c r="A820" s="170" t="s">
        <v>1346</v>
      </c>
      <c r="B820" s="162" t="s">
        <v>230</v>
      </c>
      <c r="C820" s="176" t="s">
        <v>9</v>
      </c>
      <c r="D820" s="257">
        <f>1620*(100%+20%)</f>
        <v>1944</v>
      </c>
      <c r="E820" s="258">
        <f>1756*(100%+20%)</f>
        <v>2107.2</v>
      </c>
      <c r="F820" s="258">
        <f>2113*(100%+20%)</f>
        <v>2535.6</v>
      </c>
      <c r="G820" s="259">
        <f>2113*(100%+20%)</f>
        <v>2535.6</v>
      </c>
      <c r="H820" s="257">
        <f>1936*(100%+20%)</f>
        <v>2323.2</v>
      </c>
      <c r="I820" s="258">
        <f>2073*(100%+20%)</f>
        <v>2487.6</v>
      </c>
      <c r="J820" s="258">
        <f>2429*(100%+20%)</f>
        <v>2914.7999999999997</v>
      </c>
      <c r="K820" s="259">
        <f>2429*(100%+20%)</f>
        <v>2914.7999999999997</v>
      </c>
      <c r="M820" s="44"/>
    </row>
    <row r="821" spans="1:11" ht="15" customHeight="1">
      <c r="A821" s="74" t="s">
        <v>1347</v>
      </c>
      <c r="B821" s="162" t="s">
        <v>231</v>
      </c>
      <c r="C821" s="176" t="s">
        <v>30</v>
      </c>
      <c r="D821" s="257">
        <f>734*(100%+20%)</f>
        <v>880.8</v>
      </c>
      <c r="E821" s="258">
        <f>812*(100%+20%)</f>
        <v>974.4</v>
      </c>
      <c r="F821" s="258">
        <f>1017*(100%+20%)</f>
        <v>1220.3999999999999</v>
      </c>
      <c r="G821" s="259">
        <f>1017*(100%+20%)</f>
        <v>1220.3999999999999</v>
      </c>
      <c r="H821" s="257">
        <f>1113*(100%+20%)</f>
        <v>1335.6</v>
      </c>
      <c r="I821" s="258">
        <f>1192*(100%+20%)</f>
        <v>1430.3999999999999</v>
      </c>
      <c r="J821" s="258">
        <f>1397*(100%+20%)</f>
        <v>1676.3999999999999</v>
      </c>
      <c r="K821" s="259">
        <f>1397*(100%+20%)</f>
        <v>1676.3999999999999</v>
      </c>
    </row>
    <row r="822" spans="1:11" ht="15" customHeight="1">
      <c r="A822" s="74" t="s">
        <v>1348</v>
      </c>
      <c r="B822" s="162" t="s">
        <v>232</v>
      </c>
      <c r="C822" s="176" t="s">
        <v>9</v>
      </c>
      <c r="D822" s="257">
        <f>1809*(100%+20%)</f>
        <v>2170.7999999999997</v>
      </c>
      <c r="E822" s="258">
        <f>1963*(100%+20%)</f>
        <v>2355.6</v>
      </c>
      <c r="F822" s="258">
        <f>2367*(100%+20%)</f>
        <v>2840.4</v>
      </c>
      <c r="G822" s="259">
        <f>2367*(100%+20%)</f>
        <v>2840.4</v>
      </c>
      <c r="H822" s="257">
        <f>2188*(100%+20%)</f>
        <v>2625.6</v>
      </c>
      <c r="I822" s="258">
        <f>2342*(100%+20%)</f>
        <v>2810.4</v>
      </c>
      <c r="J822" s="258">
        <f>2745*(100%+20%)</f>
        <v>3294</v>
      </c>
      <c r="K822" s="259">
        <f>2745*(100%+20%)</f>
        <v>3294</v>
      </c>
    </row>
    <row r="823" spans="1:11" ht="15" customHeight="1" thickBot="1">
      <c r="A823" s="74" t="s">
        <v>1349</v>
      </c>
      <c r="B823" s="163" t="s">
        <v>233</v>
      </c>
      <c r="C823" s="179" t="s">
        <v>9</v>
      </c>
      <c r="D823" s="260">
        <f>1809*(100%+20%)</f>
        <v>2170.7999999999997</v>
      </c>
      <c r="E823" s="261">
        <f>1963*(100%+20%)</f>
        <v>2355.6</v>
      </c>
      <c r="F823" s="261">
        <f>2367*(100%+20%)</f>
        <v>2840.4</v>
      </c>
      <c r="G823" s="262">
        <f>2367*(100%+20%)</f>
        <v>2840.4</v>
      </c>
      <c r="H823" s="260">
        <f>2188*(100%+20%)</f>
        <v>2625.6</v>
      </c>
      <c r="I823" s="261">
        <f>2342*(100%+20%)</f>
        <v>2810.4</v>
      </c>
      <c r="J823" s="261">
        <f>2745*(100%+20%)</f>
        <v>3294</v>
      </c>
      <c r="K823" s="262">
        <f>2745*(100%+20%)</f>
        <v>3294</v>
      </c>
    </row>
    <row r="824" spans="1:11" ht="21" customHeight="1" thickBot="1">
      <c r="A824" s="74" t="s">
        <v>1350</v>
      </c>
      <c r="B824" s="325" t="s">
        <v>352</v>
      </c>
      <c r="C824" s="326"/>
      <c r="D824" s="337"/>
      <c r="E824" s="337"/>
      <c r="F824" s="337"/>
      <c r="G824" s="337"/>
      <c r="H824" s="337"/>
      <c r="I824" s="337"/>
      <c r="J824" s="337"/>
      <c r="K824" s="338"/>
    </row>
    <row r="825" spans="1:11" ht="15" customHeight="1" thickBot="1">
      <c r="A825" s="24" t="s">
        <v>1351</v>
      </c>
      <c r="B825" s="314" t="s">
        <v>97</v>
      </c>
      <c r="C825" s="312" t="s">
        <v>1379</v>
      </c>
      <c r="D825" s="316" t="s">
        <v>845</v>
      </c>
      <c r="E825" s="317"/>
      <c r="F825" s="317"/>
      <c r="G825" s="318"/>
      <c r="H825" s="316" t="s">
        <v>846</v>
      </c>
      <c r="I825" s="317"/>
      <c r="J825" s="317"/>
      <c r="K825" s="318"/>
    </row>
    <row r="826" spans="1:11" ht="15" customHeight="1" thickBot="1">
      <c r="A826" s="21" t="s">
        <v>1352</v>
      </c>
      <c r="B826" s="315"/>
      <c r="C826" s="313"/>
      <c r="D826" s="106" t="s">
        <v>847</v>
      </c>
      <c r="E826" s="105" t="s">
        <v>4</v>
      </c>
      <c r="F826" s="103" t="s">
        <v>5</v>
      </c>
      <c r="G826" s="105" t="s">
        <v>1420</v>
      </c>
      <c r="H826" s="103" t="s">
        <v>847</v>
      </c>
      <c r="I826" s="105" t="s">
        <v>4</v>
      </c>
      <c r="J826" s="103" t="s">
        <v>5</v>
      </c>
      <c r="K826" s="105" t="s">
        <v>1420</v>
      </c>
    </row>
    <row r="827" spans="1:11" ht="15" customHeight="1">
      <c r="A827" s="98" t="s">
        <v>1353</v>
      </c>
      <c r="B827" s="161" t="s">
        <v>361</v>
      </c>
      <c r="C827" s="175" t="s">
        <v>30</v>
      </c>
      <c r="D827" s="253">
        <f>808*(100%+20%)</f>
        <v>969.5999999999999</v>
      </c>
      <c r="E827" s="254">
        <f>887*(100%+20%)</f>
        <v>1064.3999999999999</v>
      </c>
      <c r="F827" s="255">
        <f>1093*(100%+20%)</f>
        <v>1311.6</v>
      </c>
      <c r="G827" s="256">
        <f>1093*(100%+20%)</f>
        <v>1311.6</v>
      </c>
      <c r="H827" s="253">
        <f>1124*(100%+20%)</f>
        <v>1348.8</v>
      </c>
      <c r="I827" s="254">
        <f>1204*(100%+20%)</f>
        <v>1444.8</v>
      </c>
      <c r="J827" s="255">
        <f>1410*(100%+20%)</f>
        <v>1692</v>
      </c>
      <c r="K827" s="256">
        <f>1410*(100%+20%)</f>
        <v>1692</v>
      </c>
    </row>
    <row r="828" spans="1:11" ht="15" customHeight="1">
      <c r="A828" s="98" t="s">
        <v>1354</v>
      </c>
      <c r="B828" s="162" t="s">
        <v>362</v>
      </c>
      <c r="C828" s="176" t="s">
        <v>9</v>
      </c>
      <c r="D828" s="257">
        <f>1774*(100%+20%)</f>
        <v>2128.7999999999997</v>
      </c>
      <c r="E828" s="258">
        <f>1920*(100%+20%)</f>
        <v>2304</v>
      </c>
      <c r="F828" s="258">
        <f>2305*(100%+20%)</f>
        <v>2766</v>
      </c>
      <c r="G828" s="259">
        <f>2305*(100%+20%)</f>
        <v>2766</v>
      </c>
      <c r="H828" s="257">
        <f>2090*(100%+20%)</f>
        <v>2508</v>
      </c>
      <c r="I828" s="258">
        <f>2236*(100%+20%)</f>
        <v>2683.2</v>
      </c>
      <c r="J828" s="258">
        <f>2621*(100%+20%)</f>
        <v>3145.2</v>
      </c>
      <c r="K828" s="259">
        <f>2621*(100%+20%)</f>
        <v>3145.2</v>
      </c>
    </row>
    <row r="829" spans="1:11" ht="15" customHeight="1">
      <c r="A829" s="97" t="s">
        <v>1355</v>
      </c>
      <c r="B829" s="162" t="s">
        <v>363</v>
      </c>
      <c r="C829" s="176" t="s">
        <v>9</v>
      </c>
      <c r="D829" s="257">
        <f>1774*(100%+20%)</f>
        <v>2128.7999999999997</v>
      </c>
      <c r="E829" s="258">
        <f>1920*(100%+20%)</f>
        <v>2304</v>
      </c>
      <c r="F829" s="258">
        <f>2305*(100%+20%)</f>
        <v>2766</v>
      </c>
      <c r="G829" s="259">
        <f>2305*(100%+20%)</f>
        <v>2766</v>
      </c>
      <c r="H829" s="257">
        <f>2090*(100%+20%)</f>
        <v>2508</v>
      </c>
      <c r="I829" s="258">
        <f>2236*(100%+20%)</f>
        <v>2683.2</v>
      </c>
      <c r="J829" s="258">
        <f>2621*(100%+20%)</f>
        <v>3145.2</v>
      </c>
      <c r="K829" s="259">
        <f>2621*(100%+20%)</f>
        <v>3145.2</v>
      </c>
    </row>
    <row r="830" spans="1:11" ht="15" customHeight="1">
      <c r="A830" s="97" t="s">
        <v>1356</v>
      </c>
      <c r="B830" s="162" t="s">
        <v>364</v>
      </c>
      <c r="C830" s="176" t="s">
        <v>30</v>
      </c>
      <c r="D830" s="257">
        <f>888*(100%+20%)</f>
        <v>1065.6</v>
      </c>
      <c r="E830" s="258">
        <f>977*(100%+20%)</f>
        <v>1172.3999999999999</v>
      </c>
      <c r="F830" s="258">
        <f>1210*(100%+20%)</f>
        <v>1452</v>
      </c>
      <c r="G830" s="259">
        <f>1210*(100%+20%)</f>
        <v>1452</v>
      </c>
      <c r="H830" s="257">
        <f>1267*(100%+20%)</f>
        <v>1520.3999999999999</v>
      </c>
      <c r="I830" s="258">
        <f>1355*(100%+20%)</f>
        <v>1626</v>
      </c>
      <c r="J830" s="258">
        <f>1590*(100%+20%)</f>
        <v>1908</v>
      </c>
      <c r="K830" s="259">
        <f>1590*(100%+20%)</f>
        <v>1908</v>
      </c>
    </row>
    <row r="831" spans="1:11" ht="15" customHeight="1" thickBot="1">
      <c r="A831" s="167" t="s">
        <v>1357</v>
      </c>
      <c r="B831" s="162" t="s">
        <v>365</v>
      </c>
      <c r="C831" s="176" t="s">
        <v>9</v>
      </c>
      <c r="D831" s="257">
        <f>1963*(100%+20%)</f>
        <v>2355.6</v>
      </c>
      <c r="E831" s="258">
        <f>2128*(100%+20%)</f>
        <v>2553.6</v>
      </c>
      <c r="F831" s="258">
        <f>2561*(100%+20%)</f>
        <v>3073.2</v>
      </c>
      <c r="G831" s="259">
        <f>2561*(100%+20%)</f>
        <v>3073.2</v>
      </c>
      <c r="H831" s="257">
        <f>2342*(100%+20%)</f>
        <v>2810.4</v>
      </c>
      <c r="I831" s="258">
        <f>2507*(100%+20%)</f>
        <v>3008.4</v>
      </c>
      <c r="J831" s="258">
        <f>2940*(100%+20%)</f>
        <v>3528</v>
      </c>
      <c r="K831" s="259">
        <f>2940*(100%+20%)</f>
        <v>3528</v>
      </c>
    </row>
    <row r="832" spans="1:11" ht="15" customHeight="1" thickBot="1">
      <c r="A832" s="171" t="s">
        <v>1358</v>
      </c>
      <c r="B832" s="163" t="s">
        <v>366</v>
      </c>
      <c r="C832" s="178" t="s">
        <v>9</v>
      </c>
      <c r="D832" s="260">
        <f>1963*(100%+20%)</f>
        <v>2355.6</v>
      </c>
      <c r="E832" s="261">
        <f>2128*(100%+20%)</f>
        <v>2553.6</v>
      </c>
      <c r="F832" s="261">
        <f>2561*(100%+20%)</f>
        <v>3073.2</v>
      </c>
      <c r="G832" s="262">
        <f>2561*(100%+20%)</f>
        <v>3073.2</v>
      </c>
      <c r="H832" s="260">
        <f>2342*(100%+20%)</f>
        <v>2810.4</v>
      </c>
      <c r="I832" s="261">
        <f>2507*(100%+20%)</f>
        <v>3008.4</v>
      </c>
      <c r="J832" s="261">
        <f>2940*(100%+20%)</f>
        <v>3528</v>
      </c>
      <c r="K832" s="262">
        <f>2940*(100%+20%)</f>
        <v>3528</v>
      </c>
    </row>
    <row r="833" spans="1:11" ht="21" customHeight="1" thickBot="1">
      <c r="A833" s="98" t="s">
        <v>1359</v>
      </c>
      <c r="B833" s="325" t="s">
        <v>19</v>
      </c>
      <c r="C833" s="326"/>
      <c r="D833" s="337"/>
      <c r="E833" s="337"/>
      <c r="F833" s="337"/>
      <c r="G833" s="337"/>
      <c r="H833" s="337"/>
      <c r="I833" s="337"/>
      <c r="J833" s="337"/>
      <c r="K833" s="338"/>
    </row>
    <row r="834" spans="1:11" ht="15" customHeight="1" thickBot="1">
      <c r="A834" s="28" t="s">
        <v>1360</v>
      </c>
      <c r="B834" s="314" t="s">
        <v>97</v>
      </c>
      <c r="C834" s="312" t="s">
        <v>1379</v>
      </c>
      <c r="D834" s="316" t="s">
        <v>845</v>
      </c>
      <c r="E834" s="317"/>
      <c r="F834" s="317"/>
      <c r="G834" s="318"/>
      <c r="H834" s="316" t="s">
        <v>846</v>
      </c>
      <c r="I834" s="317"/>
      <c r="J834" s="317"/>
      <c r="K834" s="318"/>
    </row>
    <row r="835" spans="1:11" ht="15" customHeight="1" thickBot="1">
      <c r="A835" s="35" t="s">
        <v>1361</v>
      </c>
      <c r="B835" s="315"/>
      <c r="C835" s="313"/>
      <c r="D835" s="106" t="s">
        <v>847</v>
      </c>
      <c r="E835" s="105" t="s">
        <v>4</v>
      </c>
      <c r="F835" s="103" t="s">
        <v>5</v>
      </c>
      <c r="G835" s="105" t="s">
        <v>1420</v>
      </c>
      <c r="H835" s="103" t="s">
        <v>847</v>
      </c>
      <c r="I835" s="105" t="s">
        <v>4</v>
      </c>
      <c r="J835" s="103" t="s">
        <v>5</v>
      </c>
      <c r="K835" s="105" t="s">
        <v>1420</v>
      </c>
    </row>
    <row r="836" spans="1:11" ht="15" customHeight="1">
      <c r="A836" s="97" t="s">
        <v>1362</v>
      </c>
      <c r="B836" s="161" t="s">
        <v>764</v>
      </c>
      <c r="C836" s="175" t="s">
        <v>30</v>
      </c>
      <c r="D836" s="253">
        <f>654*(100%+20%)</f>
        <v>784.8</v>
      </c>
      <c r="E836" s="254">
        <f>722*(100%+20%)</f>
        <v>866.4</v>
      </c>
      <c r="F836" s="255">
        <f>900*(100%+20%)</f>
        <v>1080</v>
      </c>
      <c r="G836" s="256">
        <f>900*(100%+20%)</f>
        <v>1080</v>
      </c>
      <c r="H836" s="253">
        <f>970*(100%+20%)</f>
        <v>1164</v>
      </c>
      <c r="I836" s="254">
        <f>1038*(100%+20%)</f>
        <v>1245.6</v>
      </c>
      <c r="J836" s="255">
        <f>1216*(100%+20%)</f>
        <v>1459.2</v>
      </c>
      <c r="K836" s="256">
        <f>1216*(100%+20%)</f>
        <v>1459.2</v>
      </c>
    </row>
    <row r="837" spans="1:11" ht="15" customHeight="1" thickBot="1">
      <c r="A837" s="167" t="s">
        <v>1363</v>
      </c>
      <c r="B837" s="162" t="s">
        <v>765</v>
      </c>
      <c r="C837" s="176" t="s">
        <v>9</v>
      </c>
      <c r="D837" s="257">
        <f>1620*(100%+20%)</f>
        <v>1944</v>
      </c>
      <c r="E837" s="258">
        <f>1756*(100%+20%)</f>
        <v>2107.2</v>
      </c>
      <c r="F837" s="258">
        <f>2113*(100%+20%)</f>
        <v>2535.6</v>
      </c>
      <c r="G837" s="259">
        <f>2113*(100%+20%)</f>
        <v>2535.6</v>
      </c>
      <c r="H837" s="257">
        <f>1936*(100%+20%)</f>
        <v>2323.2</v>
      </c>
      <c r="I837" s="258">
        <f>2073*(100%+20%)</f>
        <v>2487.6</v>
      </c>
      <c r="J837" s="258">
        <f>2429*(100%+20%)</f>
        <v>2914.7999999999997</v>
      </c>
      <c r="K837" s="259">
        <f>2429*(100%+20%)</f>
        <v>2914.7999999999997</v>
      </c>
    </row>
    <row r="838" spans="1:11" ht="15" customHeight="1">
      <c r="A838" s="171" t="s">
        <v>1364</v>
      </c>
      <c r="B838" s="162" t="s">
        <v>766</v>
      </c>
      <c r="C838" s="176" t="s">
        <v>9</v>
      </c>
      <c r="D838" s="257">
        <f>1620*(100%+20%)</f>
        <v>1944</v>
      </c>
      <c r="E838" s="258">
        <f>1756*(100%+20%)</f>
        <v>2107.2</v>
      </c>
      <c r="F838" s="258">
        <f>2113*(100%+20%)</f>
        <v>2535.6</v>
      </c>
      <c r="G838" s="259">
        <f>2113*(100%+20%)</f>
        <v>2535.6</v>
      </c>
      <c r="H838" s="257">
        <f>1936*(100%+20%)</f>
        <v>2323.2</v>
      </c>
      <c r="I838" s="258">
        <f>2073*(100%+20%)</f>
        <v>2487.6</v>
      </c>
      <c r="J838" s="258">
        <f>2429*(100%+20%)</f>
        <v>2914.7999999999997</v>
      </c>
      <c r="K838" s="259">
        <f>2429*(100%+20%)</f>
        <v>2914.7999999999997</v>
      </c>
    </row>
    <row r="839" spans="1:11" ht="15" customHeight="1">
      <c r="A839" s="98" t="s">
        <v>1365</v>
      </c>
      <c r="B839" s="162" t="s">
        <v>767</v>
      </c>
      <c r="C839" s="176" t="s">
        <v>30</v>
      </c>
      <c r="D839" s="257">
        <f>734*(100%+20%)</f>
        <v>880.8</v>
      </c>
      <c r="E839" s="258">
        <f>812*(100%+20%)</f>
        <v>974.4</v>
      </c>
      <c r="F839" s="258">
        <f>1017*(100%+20%)</f>
        <v>1220.3999999999999</v>
      </c>
      <c r="G839" s="259">
        <f>1017*(100%+20%)</f>
        <v>1220.3999999999999</v>
      </c>
      <c r="H839" s="257">
        <f>1113*(100%+20%)</f>
        <v>1335.6</v>
      </c>
      <c r="I839" s="258">
        <f>1192*(100%+20%)</f>
        <v>1430.3999999999999</v>
      </c>
      <c r="J839" s="258">
        <f>1397*(100%+20%)</f>
        <v>1676.3999999999999</v>
      </c>
      <c r="K839" s="259">
        <f>1397*(100%+20%)</f>
        <v>1676.3999999999999</v>
      </c>
    </row>
    <row r="840" spans="1:11" ht="15" customHeight="1">
      <c r="A840" s="98" t="s">
        <v>1366</v>
      </c>
      <c r="B840" s="162" t="s">
        <v>768</v>
      </c>
      <c r="C840" s="176" t="s">
        <v>9</v>
      </c>
      <c r="D840" s="257">
        <f>1809*(100%+20%)</f>
        <v>2170.7999999999997</v>
      </c>
      <c r="E840" s="258">
        <f>1963*(100%+20%)</f>
        <v>2355.6</v>
      </c>
      <c r="F840" s="258">
        <f>2367*(100%+20%)</f>
        <v>2840.4</v>
      </c>
      <c r="G840" s="259">
        <f>2367*(100%+20%)</f>
        <v>2840.4</v>
      </c>
      <c r="H840" s="257">
        <f>2188*(100%+20%)</f>
        <v>2625.6</v>
      </c>
      <c r="I840" s="258">
        <f>2342*(100%+20%)</f>
        <v>2810.4</v>
      </c>
      <c r="J840" s="258">
        <f>2745*(100%+20%)</f>
        <v>3294</v>
      </c>
      <c r="K840" s="259">
        <f>2745*(100%+20%)</f>
        <v>3294</v>
      </c>
    </row>
    <row r="841" spans="1:11" ht="15" customHeight="1" thickBot="1">
      <c r="A841" s="97" t="s">
        <v>1367</v>
      </c>
      <c r="B841" s="163" t="s">
        <v>769</v>
      </c>
      <c r="C841" s="178" t="s">
        <v>9</v>
      </c>
      <c r="D841" s="260">
        <f>1809*(100%+20%)</f>
        <v>2170.7999999999997</v>
      </c>
      <c r="E841" s="261">
        <f>1963*(100%+20%)</f>
        <v>2355.6</v>
      </c>
      <c r="F841" s="261">
        <f>2367*(100%+20%)</f>
        <v>2840.4</v>
      </c>
      <c r="G841" s="262">
        <f>2367*(100%+20%)</f>
        <v>2840.4</v>
      </c>
      <c r="H841" s="260">
        <f>2188*(100%+20%)</f>
        <v>2625.6</v>
      </c>
      <c r="I841" s="261">
        <f>2342*(100%+20%)</f>
        <v>2810.4</v>
      </c>
      <c r="J841" s="261">
        <f>2745*(100%+20%)</f>
        <v>3294</v>
      </c>
      <c r="K841" s="262">
        <f>2745*(100%+20%)</f>
        <v>3294</v>
      </c>
    </row>
    <row r="842" spans="1:11" ht="21" customHeight="1" thickBot="1">
      <c r="A842" s="97" t="s">
        <v>1368</v>
      </c>
      <c r="B842" s="325" t="s">
        <v>817</v>
      </c>
      <c r="C842" s="326"/>
      <c r="D842" s="337"/>
      <c r="E842" s="337"/>
      <c r="F842" s="337"/>
      <c r="G842" s="337"/>
      <c r="H842" s="337"/>
      <c r="I842" s="337"/>
      <c r="J842" s="337"/>
      <c r="K842" s="338"/>
    </row>
    <row r="843" spans="1:11" ht="15" customHeight="1" thickBot="1">
      <c r="A843" s="40" t="s">
        <v>1369</v>
      </c>
      <c r="B843" s="314" t="s">
        <v>97</v>
      </c>
      <c r="C843" s="312" t="s">
        <v>1379</v>
      </c>
      <c r="D843" s="316" t="s">
        <v>845</v>
      </c>
      <c r="E843" s="317"/>
      <c r="F843" s="317"/>
      <c r="G843" s="318"/>
      <c r="H843" s="316" t="s">
        <v>846</v>
      </c>
      <c r="I843" s="317"/>
      <c r="J843" s="317"/>
      <c r="K843" s="318"/>
    </row>
    <row r="844" spans="1:11" ht="15" customHeight="1" thickBot="1">
      <c r="A844" s="88"/>
      <c r="B844" s="315"/>
      <c r="C844" s="313"/>
      <c r="D844" s="106" t="s">
        <v>847</v>
      </c>
      <c r="E844" s="105" t="s">
        <v>4</v>
      </c>
      <c r="F844" s="103" t="s">
        <v>5</v>
      </c>
      <c r="G844" s="105" t="s">
        <v>1420</v>
      </c>
      <c r="H844" s="103" t="s">
        <v>847</v>
      </c>
      <c r="I844" s="105" t="s">
        <v>4</v>
      </c>
      <c r="J844" s="103" t="s">
        <v>5</v>
      </c>
      <c r="K844" s="105" t="s">
        <v>1420</v>
      </c>
    </row>
    <row r="845" spans="1:11" ht="15" customHeight="1">
      <c r="A845" s="172"/>
      <c r="B845" s="161" t="s">
        <v>818</v>
      </c>
      <c r="C845" s="175" t="s">
        <v>9</v>
      </c>
      <c r="D845" s="253">
        <f>490*(100%+20%)</f>
        <v>588</v>
      </c>
      <c r="E845" s="254">
        <f>538*(100%+20%)</f>
        <v>645.6</v>
      </c>
      <c r="F845" s="255">
        <f>663*(100%+20%)</f>
        <v>795.6</v>
      </c>
      <c r="G845" s="256">
        <f>663*(100%+20%)</f>
        <v>795.6</v>
      </c>
      <c r="H845" s="253">
        <f>680*(100%+20%)</f>
        <v>816</v>
      </c>
      <c r="I845" s="254">
        <f>727*(100%+20%)</f>
        <v>872.4</v>
      </c>
      <c r="J845" s="255">
        <f>852*(100%+20%)</f>
        <v>1022.4</v>
      </c>
      <c r="K845" s="256">
        <f>852*(100%+20%)</f>
        <v>1022.4</v>
      </c>
    </row>
    <row r="846" spans="1:11" ht="15" customHeight="1" thickBot="1">
      <c r="A846" s="167" t="s">
        <v>1369</v>
      </c>
      <c r="B846" s="162" t="s">
        <v>819</v>
      </c>
      <c r="C846" s="176" t="s">
        <v>9</v>
      </c>
      <c r="D846" s="257">
        <f>519*(100%+20%)</f>
        <v>622.8</v>
      </c>
      <c r="E846" s="258">
        <f>569*(100%+20%)</f>
        <v>682.8</v>
      </c>
      <c r="F846" s="258">
        <f>706*(100%+20%)</f>
        <v>847.1999999999999</v>
      </c>
      <c r="G846" s="259">
        <f>706*(100%+20%)</f>
        <v>847.1999999999999</v>
      </c>
      <c r="H846" s="257">
        <f>739*(100%+20%)</f>
        <v>886.8</v>
      </c>
      <c r="I846" s="258">
        <f>791*(100%+20%)</f>
        <v>949.1999999999999</v>
      </c>
      <c r="J846" s="258">
        <f>927*(100%+20%)</f>
        <v>1112.3999999999999</v>
      </c>
      <c r="K846" s="259">
        <f>927*(100%+20%)</f>
        <v>1112.3999999999999</v>
      </c>
    </row>
    <row r="847" spans="1:11" ht="15" customHeight="1" thickBot="1">
      <c r="A847" s="31"/>
      <c r="B847" s="162" t="s">
        <v>820</v>
      </c>
      <c r="C847" s="176" t="s">
        <v>9</v>
      </c>
      <c r="D847" s="257">
        <f>490*(100%+20%)</f>
        <v>588</v>
      </c>
      <c r="E847" s="258">
        <f>536*(100%+20%)</f>
        <v>643.1999999999999</v>
      </c>
      <c r="F847" s="258">
        <f>657*(100%+20%)</f>
        <v>788.4</v>
      </c>
      <c r="G847" s="259">
        <f>657*(100%+20%)</f>
        <v>788.4</v>
      </c>
      <c r="H847" s="257">
        <f>648*(100%+20%)</f>
        <v>777.6</v>
      </c>
      <c r="I847" s="258">
        <f>694*(100%+20%)</f>
        <v>832.8</v>
      </c>
      <c r="J847" s="258">
        <f>814*(100%+20%)</f>
        <v>976.8</v>
      </c>
      <c r="K847" s="259">
        <f>814*(100%+20%)</f>
        <v>976.8</v>
      </c>
    </row>
    <row r="848" spans="1:11" ht="15" customHeight="1">
      <c r="A848" s="86" t="s">
        <v>1370</v>
      </c>
      <c r="B848" s="162" t="s">
        <v>823</v>
      </c>
      <c r="C848" s="176" t="s">
        <v>9</v>
      </c>
      <c r="D848" s="257">
        <f>510*(100%+20%)</f>
        <v>612</v>
      </c>
      <c r="E848" s="258">
        <f>560*(100%+20%)</f>
        <v>672</v>
      </c>
      <c r="F848" s="258">
        <f>689*(100%+20%)</f>
        <v>826.8</v>
      </c>
      <c r="G848" s="259">
        <f>689*(100%+20%)</f>
        <v>826.8</v>
      </c>
      <c r="H848" s="257">
        <f>700*(100%+20%)</f>
        <v>840</v>
      </c>
      <c r="I848" s="258">
        <f>750*(100%+20%)</f>
        <v>900</v>
      </c>
      <c r="J848" s="258">
        <f>879*(100%+20%)</f>
        <v>1054.8</v>
      </c>
      <c r="K848" s="259">
        <f>879*(100%+20%)</f>
        <v>1054.8</v>
      </c>
    </row>
    <row r="849" spans="1:11" ht="15" customHeight="1">
      <c r="A849" s="98" t="s">
        <v>1371</v>
      </c>
      <c r="B849" s="162" t="s">
        <v>821</v>
      </c>
      <c r="C849" s="176" t="s">
        <v>9</v>
      </c>
      <c r="D849" s="257">
        <f>595*(100%+20%)</f>
        <v>714</v>
      </c>
      <c r="E849" s="258">
        <f>654*(100%+20%)</f>
        <v>784.8</v>
      </c>
      <c r="F849" s="258">
        <f>806*(100%+20%)</f>
        <v>967.1999999999999</v>
      </c>
      <c r="G849" s="259">
        <f>806*(100%+20%)</f>
        <v>967.1999999999999</v>
      </c>
      <c r="H849" s="257">
        <f>817*(100%+20%)</f>
        <v>980.4</v>
      </c>
      <c r="I849" s="258">
        <f>875*(100%+20%)</f>
        <v>1050</v>
      </c>
      <c r="J849" s="258">
        <f>1026*(100%+20%)</f>
        <v>1231.2</v>
      </c>
      <c r="K849" s="259">
        <f>1026*(100%+20%)</f>
        <v>1231.2</v>
      </c>
    </row>
    <row r="850" spans="1:11" ht="15" customHeight="1" thickBot="1">
      <c r="A850" s="98" t="s">
        <v>1372</v>
      </c>
      <c r="B850" s="163" t="s">
        <v>822</v>
      </c>
      <c r="C850" s="178" t="s">
        <v>9</v>
      </c>
      <c r="D850" s="260">
        <f>557*(100%+20%)</f>
        <v>668.4</v>
      </c>
      <c r="E850" s="261">
        <f>615*(100%+20%)</f>
        <v>738</v>
      </c>
      <c r="F850" s="261">
        <f>770*(100%+20%)</f>
        <v>924</v>
      </c>
      <c r="G850" s="262">
        <f>770*(100%+20%)</f>
        <v>924</v>
      </c>
      <c r="H850" s="260">
        <f>841*(100%+20%)</f>
        <v>1009.1999999999999</v>
      </c>
      <c r="I850" s="261">
        <f>899*(100%+20%)</f>
        <v>1078.8</v>
      </c>
      <c r="J850" s="261">
        <f>1055*(100%+20%)</f>
        <v>1266</v>
      </c>
      <c r="K850" s="262">
        <f>1055*(100%+20%)</f>
        <v>1266</v>
      </c>
    </row>
    <row r="851" spans="1:11" ht="21" customHeight="1" thickBot="1">
      <c r="A851" s="96"/>
      <c r="B851" s="325" t="s">
        <v>215</v>
      </c>
      <c r="C851" s="326"/>
      <c r="D851" s="337"/>
      <c r="E851" s="337"/>
      <c r="F851" s="337"/>
      <c r="G851" s="337"/>
      <c r="H851" s="337"/>
      <c r="I851" s="337"/>
      <c r="J851" s="337"/>
      <c r="K851" s="338"/>
    </row>
    <row r="852" spans="2:11" ht="15" customHeight="1" thickBot="1">
      <c r="B852" s="314" t="s">
        <v>97</v>
      </c>
      <c r="C852" s="312" t="s">
        <v>1379</v>
      </c>
      <c r="D852" s="316" t="s">
        <v>845</v>
      </c>
      <c r="E852" s="317"/>
      <c r="F852" s="317"/>
      <c r="G852" s="318"/>
      <c r="H852" s="316" t="s">
        <v>846</v>
      </c>
      <c r="I852" s="317"/>
      <c r="J852" s="317"/>
      <c r="K852" s="318"/>
    </row>
    <row r="853" spans="1:11" ht="15" customHeight="1" thickBot="1">
      <c r="A853" s="18"/>
      <c r="B853" s="315"/>
      <c r="C853" s="313"/>
      <c r="D853" s="106" t="s">
        <v>847</v>
      </c>
      <c r="E853" s="105" t="s">
        <v>4</v>
      </c>
      <c r="F853" s="103" t="s">
        <v>5</v>
      </c>
      <c r="G853" s="105" t="s">
        <v>1420</v>
      </c>
      <c r="H853" s="103" t="s">
        <v>847</v>
      </c>
      <c r="I853" s="105" t="s">
        <v>4</v>
      </c>
      <c r="J853" s="103" t="s">
        <v>5</v>
      </c>
      <c r="K853" s="105" t="s">
        <v>1420</v>
      </c>
    </row>
    <row r="854" spans="1:11" ht="15" customHeight="1">
      <c r="A854" s="86" t="s">
        <v>1373</v>
      </c>
      <c r="B854" s="161" t="s">
        <v>213</v>
      </c>
      <c r="C854" s="175" t="s">
        <v>9</v>
      </c>
      <c r="D854" s="253">
        <f>526*(100%+20%)</f>
        <v>631.1999999999999</v>
      </c>
      <c r="E854" s="254">
        <f>571*(100%+20%)</f>
        <v>685.1999999999999</v>
      </c>
      <c r="F854" s="255">
        <f>691*(100%+20%)</f>
        <v>829.1999999999999</v>
      </c>
      <c r="G854" s="256">
        <f>691*(100%+20%)</f>
        <v>829.1999999999999</v>
      </c>
      <c r="H854" s="253">
        <f>653*(100%+20%)</f>
        <v>783.6</v>
      </c>
      <c r="I854" s="254">
        <f>697*(100%+20%)</f>
        <v>836.4</v>
      </c>
      <c r="J854" s="255">
        <f>818*(100%+20%)</f>
        <v>981.5999999999999</v>
      </c>
      <c r="K854" s="256">
        <f>818*(100%+20%)</f>
        <v>981.5999999999999</v>
      </c>
    </row>
    <row r="855" spans="1:11" ht="15" customHeight="1">
      <c r="A855" s="97" t="s">
        <v>1374</v>
      </c>
      <c r="B855" s="162" t="s">
        <v>241</v>
      </c>
      <c r="C855" s="176" t="s">
        <v>9</v>
      </c>
      <c r="D855" s="257">
        <f>481*(100%+20%)</f>
        <v>577.1999999999999</v>
      </c>
      <c r="E855" s="258">
        <f>522*(100%+20%)</f>
        <v>626.4</v>
      </c>
      <c r="F855" s="258">
        <f aca="true" t="shared" si="28" ref="F855:G858">633*(100%+20%)</f>
        <v>759.6</v>
      </c>
      <c r="G855" s="259">
        <f t="shared" si="28"/>
        <v>759.6</v>
      </c>
      <c r="H855" s="257">
        <f>606*(100%+20%)</f>
        <v>727.1999999999999</v>
      </c>
      <c r="I855" s="258">
        <f>648*(100%+20%)</f>
        <v>777.6</v>
      </c>
      <c r="J855" s="258">
        <f aca="true" t="shared" si="29" ref="J855:K858">760*(100%+20%)</f>
        <v>912</v>
      </c>
      <c r="K855" s="259">
        <f t="shared" si="29"/>
        <v>912</v>
      </c>
    </row>
    <row r="856" spans="1:11" ht="15" customHeight="1">
      <c r="A856" s="97" t="s">
        <v>1375</v>
      </c>
      <c r="B856" s="162" t="s">
        <v>240</v>
      </c>
      <c r="C856" s="176" t="s">
        <v>9</v>
      </c>
      <c r="D856" s="257">
        <f>481*(100%+20%)</f>
        <v>577.1999999999999</v>
      </c>
      <c r="E856" s="258">
        <f>522*(100%+20%)</f>
        <v>626.4</v>
      </c>
      <c r="F856" s="258">
        <f t="shared" si="28"/>
        <v>759.6</v>
      </c>
      <c r="G856" s="259">
        <f t="shared" si="28"/>
        <v>759.6</v>
      </c>
      <c r="H856" s="257">
        <f>606*(100%+20%)</f>
        <v>727.1999999999999</v>
      </c>
      <c r="I856" s="258">
        <f>648*(100%+20%)</f>
        <v>777.6</v>
      </c>
      <c r="J856" s="258">
        <f t="shared" si="29"/>
        <v>912</v>
      </c>
      <c r="K856" s="259">
        <f t="shared" si="29"/>
        <v>912</v>
      </c>
    </row>
    <row r="857" spans="1:11" ht="15" customHeight="1">
      <c r="A857" s="74" t="s">
        <v>1376</v>
      </c>
      <c r="B857" s="162" t="s">
        <v>239</v>
      </c>
      <c r="C857" s="176" t="s">
        <v>9</v>
      </c>
      <c r="D857" s="257">
        <f>481*(100%+20%)</f>
        <v>577.1999999999999</v>
      </c>
      <c r="E857" s="258">
        <f>522*(100%+20%)</f>
        <v>626.4</v>
      </c>
      <c r="F857" s="258">
        <f t="shared" si="28"/>
        <v>759.6</v>
      </c>
      <c r="G857" s="259">
        <f t="shared" si="28"/>
        <v>759.6</v>
      </c>
      <c r="H857" s="257">
        <f>606*(100%+20%)</f>
        <v>727.1999999999999</v>
      </c>
      <c r="I857" s="258">
        <f>648*(100%+20%)</f>
        <v>777.6</v>
      </c>
      <c r="J857" s="258">
        <f t="shared" si="29"/>
        <v>912</v>
      </c>
      <c r="K857" s="259">
        <f t="shared" si="29"/>
        <v>912</v>
      </c>
    </row>
    <row r="858" spans="1:11" ht="15" customHeight="1">
      <c r="A858" s="95"/>
      <c r="B858" s="162" t="s">
        <v>238</v>
      </c>
      <c r="C858" s="176" t="s">
        <v>9</v>
      </c>
      <c r="D858" s="257">
        <f>481*(100%+20%)</f>
        <v>577.1999999999999</v>
      </c>
      <c r="E858" s="258">
        <f>522*(100%+20%)</f>
        <v>626.4</v>
      </c>
      <c r="F858" s="258">
        <f t="shared" si="28"/>
        <v>759.6</v>
      </c>
      <c r="G858" s="259">
        <f t="shared" si="28"/>
        <v>759.6</v>
      </c>
      <c r="H858" s="257">
        <f>606*(100%+20%)</f>
        <v>727.1999999999999</v>
      </c>
      <c r="I858" s="258">
        <f>648*(100%+20%)</f>
        <v>777.6</v>
      </c>
      <c r="J858" s="258">
        <f t="shared" si="29"/>
        <v>912</v>
      </c>
      <c r="K858" s="259">
        <f t="shared" si="29"/>
        <v>912</v>
      </c>
    </row>
    <row r="859" spans="1:11" ht="15" customHeight="1" thickBot="1">
      <c r="A859" s="79" t="s">
        <v>1377</v>
      </c>
      <c r="B859" s="162" t="s">
        <v>214</v>
      </c>
      <c r="C859" s="176" t="s">
        <v>9</v>
      </c>
      <c r="D859" s="257">
        <f>526*(100%+20%)</f>
        <v>631.1999999999999</v>
      </c>
      <c r="E859" s="258">
        <f>571*(100%+20%)</f>
        <v>685.1999999999999</v>
      </c>
      <c r="F859" s="258">
        <f>691*(100%+20%)</f>
        <v>829.1999999999999</v>
      </c>
      <c r="G859" s="259">
        <f>691*(100%+20%)</f>
        <v>829.1999999999999</v>
      </c>
      <c r="H859" s="257">
        <f>653*(100%+20%)</f>
        <v>783.6</v>
      </c>
      <c r="I859" s="258">
        <f>697*(100%+20%)</f>
        <v>836.4</v>
      </c>
      <c r="J859" s="258">
        <f>818*(100%+20%)</f>
        <v>981.5999999999999</v>
      </c>
      <c r="K859" s="259">
        <f>818*(100%+20%)</f>
        <v>981.5999999999999</v>
      </c>
    </row>
    <row r="860" spans="1:11" ht="15" customHeight="1" thickBot="1">
      <c r="A860" s="18"/>
      <c r="B860" s="162" t="s">
        <v>235</v>
      </c>
      <c r="C860" s="176" t="s">
        <v>9</v>
      </c>
      <c r="D860" s="257">
        <f>481*(100%+20%)</f>
        <v>577.1999999999999</v>
      </c>
      <c r="E860" s="258">
        <f>522*(100%+20%)</f>
        <v>626.4</v>
      </c>
      <c r="F860" s="258">
        <f aca="true" t="shared" si="30" ref="F860:G863">633*(100%+20%)</f>
        <v>759.6</v>
      </c>
      <c r="G860" s="259">
        <f t="shared" si="30"/>
        <v>759.6</v>
      </c>
      <c r="H860" s="257">
        <f>606*(100%+20%)</f>
        <v>727.1999999999999</v>
      </c>
      <c r="I860" s="258">
        <f>648*(100%+20%)</f>
        <v>777.6</v>
      </c>
      <c r="J860" s="258">
        <f aca="true" t="shared" si="31" ref="J860:K863">760*(100%+20%)</f>
        <v>912</v>
      </c>
      <c r="K860" s="259">
        <f t="shared" si="31"/>
        <v>912</v>
      </c>
    </row>
    <row r="861" spans="1:11" ht="15" customHeight="1">
      <c r="A861" s="86" t="s">
        <v>1378</v>
      </c>
      <c r="B861" s="162" t="s">
        <v>234</v>
      </c>
      <c r="C861" s="176" t="s">
        <v>9</v>
      </c>
      <c r="D861" s="257">
        <f>481*(100%+20%)</f>
        <v>577.1999999999999</v>
      </c>
      <c r="E861" s="258">
        <f>522*(100%+20%)</f>
        <v>626.4</v>
      </c>
      <c r="F861" s="258">
        <f t="shared" si="30"/>
        <v>759.6</v>
      </c>
      <c r="G861" s="259">
        <f t="shared" si="30"/>
        <v>759.6</v>
      </c>
      <c r="H861" s="257">
        <f>606*(100%+20%)</f>
        <v>727.1999999999999</v>
      </c>
      <c r="I861" s="258">
        <f>648*(100%+20%)</f>
        <v>777.6</v>
      </c>
      <c r="J861" s="258">
        <f t="shared" si="31"/>
        <v>912</v>
      </c>
      <c r="K861" s="259">
        <f t="shared" si="31"/>
        <v>912</v>
      </c>
    </row>
    <row r="862" spans="1:11" ht="15" customHeight="1">
      <c r="A862" s="25"/>
      <c r="B862" s="162" t="s">
        <v>236</v>
      </c>
      <c r="C862" s="176" t="s">
        <v>9</v>
      </c>
      <c r="D862" s="257">
        <f>481*(100%+20%)</f>
        <v>577.1999999999999</v>
      </c>
      <c r="E862" s="258">
        <f>522*(100%+20%)</f>
        <v>626.4</v>
      </c>
      <c r="F862" s="258">
        <f t="shared" si="30"/>
        <v>759.6</v>
      </c>
      <c r="G862" s="259">
        <f t="shared" si="30"/>
        <v>759.6</v>
      </c>
      <c r="H862" s="257">
        <f>606*(100%+20%)</f>
        <v>727.1999999999999</v>
      </c>
      <c r="I862" s="258">
        <f>648*(100%+20%)</f>
        <v>777.6</v>
      </c>
      <c r="J862" s="258">
        <f t="shared" si="31"/>
        <v>912</v>
      </c>
      <c r="K862" s="259">
        <f t="shared" si="31"/>
        <v>912</v>
      </c>
    </row>
    <row r="863" spans="1:11" ht="15" customHeight="1" thickBot="1">
      <c r="A863" s="25"/>
      <c r="B863" s="163" t="s">
        <v>237</v>
      </c>
      <c r="C863" s="178" t="s">
        <v>9</v>
      </c>
      <c r="D863" s="260">
        <f>481*(100%+20%)</f>
        <v>577.1999999999999</v>
      </c>
      <c r="E863" s="261">
        <f>522*(100%+20%)</f>
        <v>626.4</v>
      </c>
      <c r="F863" s="261">
        <f t="shared" si="30"/>
        <v>759.6</v>
      </c>
      <c r="G863" s="262">
        <f t="shared" si="30"/>
        <v>759.6</v>
      </c>
      <c r="H863" s="260">
        <f>606*(100%+20%)</f>
        <v>727.1999999999999</v>
      </c>
      <c r="I863" s="261">
        <f>648*(100%+20%)</f>
        <v>777.6</v>
      </c>
      <c r="J863" s="261">
        <f t="shared" si="31"/>
        <v>912</v>
      </c>
      <c r="K863" s="262">
        <f t="shared" si="31"/>
        <v>912</v>
      </c>
    </row>
    <row r="864" spans="2:11" ht="21" customHeight="1" thickBot="1">
      <c r="B864" s="325" t="s">
        <v>47</v>
      </c>
      <c r="C864" s="326"/>
      <c r="D864" s="337"/>
      <c r="E864" s="337"/>
      <c r="F864" s="337"/>
      <c r="G864" s="337"/>
      <c r="H864" s="337"/>
      <c r="I864" s="337"/>
      <c r="J864" s="337"/>
      <c r="K864" s="338"/>
    </row>
    <row r="865" spans="1:11" ht="15" customHeight="1" thickBot="1">
      <c r="A865" s="30" t="s">
        <v>110</v>
      </c>
      <c r="B865" s="314" t="s">
        <v>97</v>
      </c>
      <c r="C865" s="312" t="s">
        <v>1379</v>
      </c>
      <c r="D865" s="316" t="s">
        <v>845</v>
      </c>
      <c r="E865" s="317"/>
      <c r="F865" s="317"/>
      <c r="G865" s="318"/>
      <c r="H865" s="316" t="s">
        <v>846</v>
      </c>
      <c r="I865" s="317"/>
      <c r="J865" s="317"/>
      <c r="K865" s="318"/>
    </row>
    <row r="866" spans="1:11" ht="15" customHeight="1" thickBot="1">
      <c r="A866" s="27" t="s">
        <v>851</v>
      </c>
      <c r="B866" s="315"/>
      <c r="C866" s="313"/>
      <c r="D866" s="106" t="s">
        <v>847</v>
      </c>
      <c r="E866" s="105" t="s">
        <v>4</v>
      </c>
      <c r="F866" s="103" t="s">
        <v>5</v>
      </c>
      <c r="G866" s="105" t="s">
        <v>1420</v>
      </c>
      <c r="H866" s="103" t="s">
        <v>847</v>
      </c>
      <c r="I866" s="105" t="s">
        <v>4</v>
      </c>
      <c r="J866" s="103" t="s">
        <v>5</v>
      </c>
      <c r="K866" s="105" t="s">
        <v>1420</v>
      </c>
    </row>
    <row r="867" spans="1:11" ht="15" customHeight="1" thickBot="1">
      <c r="A867" s="99" t="s">
        <v>472</v>
      </c>
      <c r="B867" s="161" t="s">
        <v>48</v>
      </c>
      <c r="C867" s="182" t="s">
        <v>9</v>
      </c>
      <c r="D867" s="253">
        <f>867*(100%+20%)</f>
        <v>1040.3999999999999</v>
      </c>
      <c r="E867" s="254">
        <f>867*(100%+20%)</f>
        <v>1040.3999999999999</v>
      </c>
      <c r="F867" s="255">
        <f>1071*(100%+20%)</f>
        <v>1285.2</v>
      </c>
      <c r="G867" s="256">
        <f>1071*(100%+20%)</f>
        <v>1285.2</v>
      </c>
      <c r="H867" s="253">
        <f>1183*(100%+20%)</f>
        <v>1419.6</v>
      </c>
      <c r="I867" s="254">
        <f>1183*(100%+20%)</f>
        <v>1419.6</v>
      </c>
      <c r="J867" s="255">
        <f>1387*(100%+20%)</f>
        <v>1664.3999999999999</v>
      </c>
      <c r="K867" s="256">
        <f>1387*(100%+20%)</f>
        <v>1664.3999999999999</v>
      </c>
    </row>
    <row r="868" spans="2:11" ht="15" customHeight="1" thickBot="1">
      <c r="B868" s="162" t="s">
        <v>49</v>
      </c>
      <c r="C868" s="183" t="s">
        <v>9</v>
      </c>
      <c r="D868" s="257">
        <f>1046*(100%+20%)</f>
        <v>1255.2</v>
      </c>
      <c r="E868" s="258">
        <f>1046*(100%+20%)</f>
        <v>1255.2</v>
      </c>
      <c r="F868" s="258">
        <f>1280*(100%+20%)</f>
        <v>1536</v>
      </c>
      <c r="G868" s="259">
        <f>1280*(100%+20%)</f>
        <v>1536</v>
      </c>
      <c r="H868" s="257">
        <f>1362*(100%+20%)</f>
        <v>1634.3999999999999</v>
      </c>
      <c r="I868" s="258">
        <f>1362*(100%+20%)</f>
        <v>1634.3999999999999</v>
      </c>
      <c r="J868" s="258">
        <f>1597*(100%+20%)</f>
        <v>1916.3999999999999</v>
      </c>
      <c r="K868" s="259">
        <f>1597*(100%+20%)</f>
        <v>1916.3999999999999</v>
      </c>
    </row>
    <row r="869" spans="1:11" ht="15" customHeight="1">
      <c r="A869" s="78" t="s">
        <v>197</v>
      </c>
      <c r="B869" s="162" t="s">
        <v>50</v>
      </c>
      <c r="C869" s="183" t="s">
        <v>9</v>
      </c>
      <c r="D869" s="257">
        <f>930*(100%+20%)</f>
        <v>1116</v>
      </c>
      <c r="E869" s="258">
        <f>930*(100%+20%)</f>
        <v>1116</v>
      </c>
      <c r="F869" s="258">
        <f>1144*(100%+20%)</f>
        <v>1372.8</v>
      </c>
      <c r="G869" s="259">
        <f>1144*(100%+20%)</f>
        <v>1372.8</v>
      </c>
      <c r="H869" s="257">
        <f>1246*(100%+20%)</f>
        <v>1495.2</v>
      </c>
      <c r="I869" s="258">
        <f>1246*(100%+20%)</f>
        <v>1495.2</v>
      </c>
      <c r="J869" s="258">
        <f>1460*(100%+20%)</f>
        <v>1752</v>
      </c>
      <c r="K869" s="259">
        <f>1460*(100%+20%)</f>
        <v>1752</v>
      </c>
    </row>
    <row r="870" spans="1:11" ht="15" customHeight="1">
      <c r="A870" s="74" t="s">
        <v>107</v>
      </c>
      <c r="B870" s="162" t="s">
        <v>51</v>
      </c>
      <c r="C870" s="183" t="s">
        <v>9</v>
      </c>
      <c r="D870" s="257">
        <f>930*(100%+20%)</f>
        <v>1116</v>
      </c>
      <c r="E870" s="258">
        <f>930*(100%+20%)</f>
        <v>1116</v>
      </c>
      <c r="F870" s="258">
        <f>1144*(100%+20%)</f>
        <v>1372.8</v>
      </c>
      <c r="G870" s="259">
        <f>1144*(100%+20%)</f>
        <v>1372.8</v>
      </c>
      <c r="H870" s="257">
        <f>1246*(100%+20%)</f>
        <v>1495.2</v>
      </c>
      <c r="I870" s="258">
        <f>1246*(100%+20%)</f>
        <v>1495.2</v>
      </c>
      <c r="J870" s="258">
        <f>1460*(100%+20%)</f>
        <v>1752</v>
      </c>
      <c r="K870" s="259">
        <f>1460*(100%+20%)</f>
        <v>1752</v>
      </c>
    </row>
    <row r="871" spans="1:11" ht="15" customHeight="1">
      <c r="A871" s="74" t="s">
        <v>108</v>
      </c>
      <c r="B871" s="162" t="s">
        <v>52</v>
      </c>
      <c r="C871" s="183" t="s">
        <v>9</v>
      </c>
      <c r="D871" s="257">
        <f>2483*(100%+20%)</f>
        <v>2979.6</v>
      </c>
      <c r="E871" s="258">
        <f>2483*(100%+20%)</f>
        <v>2979.6</v>
      </c>
      <c r="F871" s="258">
        <f>3102*(100%+20%)</f>
        <v>3722.3999999999996</v>
      </c>
      <c r="G871" s="259">
        <f>3102*(100%+20%)</f>
        <v>3722.3999999999996</v>
      </c>
      <c r="H871" s="257">
        <f>3589*(100%+20%)</f>
        <v>4306.8</v>
      </c>
      <c r="I871" s="258">
        <f>3589*(100%+20%)</f>
        <v>4306.8</v>
      </c>
      <c r="J871" s="258">
        <f>4208*(100%+20%)</f>
        <v>5049.599999999999</v>
      </c>
      <c r="K871" s="259">
        <f>4208*(100%+20%)</f>
        <v>5049.599999999999</v>
      </c>
    </row>
    <row r="872" spans="1:11" ht="15" customHeight="1" thickBot="1">
      <c r="A872" s="74" t="s">
        <v>335</v>
      </c>
      <c r="B872" s="163" t="s">
        <v>109</v>
      </c>
      <c r="C872" s="184" t="s">
        <v>9</v>
      </c>
      <c r="D872" s="272">
        <f>210*(100%+20%)</f>
        <v>252</v>
      </c>
      <c r="E872" s="270">
        <f>210*(100%+20%)</f>
        <v>252</v>
      </c>
      <c r="F872" s="270">
        <f>263*(100%+20%)</f>
        <v>315.59999999999997</v>
      </c>
      <c r="G872" s="271">
        <f>263*(100%+20%)</f>
        <v>315.59999999999997</v>
      </c>
      <c r="H872" s="272">
        <f>305*(100%+20%)</f>
        <v>366</v>
      </c>
      <c r="I872" s="270">
        <f>305*(100%+20%)</f>
        <v>366</v>
      </c>
      <c r="J872" s="270">
        <f>358*(100%+20%)</f>
        <v>429.59999999999997</v>
      </c>
      <c r="K872" s="271">
        <f>358*(100%+20%)</f>
        <v>429.59999999999997</v>
      </c>
    </row>
    <row r="873" spans="1:11" ht="21" customHeight="1" thickBot="1">
      <c r="A873" s="74" t="s">
        <v>445</v>
      </c>
      <c r="B873" s="333" t="s">
        <v>251</v>
      </c>
      <c r="C873" s="334"/>
      <c r="D873" s="348"/>
      <c r="E873" s="348"/>
      <c r="F873" s="348"/>
      <c r="G873" s="348"/>
      <c r="H873" s="348"/>
      <c r="I873" s="348"/>
      <c r="J873" s="348"/>
      <c r="K873" s="349"/>
    </row>
    <row r="874" spans="1:11" ht="15" customHeight="1" thickBot="1">
      <c r="A874" s="21" t="s">
        <v>474</v>
      </c>
      <c r="B874" s="314" t="s">
        <v>97</v>
      </c>
      <c r="C874" s="312" t="s">
        <v>1379</v>
      </c>
      <c r="D874" s="316" t="s">
        <v>845</v>
      </c>
      <c r="E874" s="317"/>
      <c r="F874" s="317"/>
      <c r="G874" s="318"/>
      <c r="H874" s="316" t="s">
        <v>846</v>
      </c>
      <c r="I874" s="317"/>
      <c r="J874" s="317"/>
      <c r="K874" s="318"/>
    </row>
    <row r="875" spans="1:11" ht="15" customHeight="1" thickBot="1">
      <c r="A875" s="29" t="s">
        <v>198</v>
      </c>
      <c r="B875" s="315"/>
      <c r="C875" s="313"/>
      <c r="D875" s="106" t="s">
        <v>847</v>
      </c>
      <c r="E875" s="105" t="s">
        <v>4</v>
      </c>
      <c r="F875" s="103" t="s">
        <v>5</v>
      </c>
      <c r="G875" s="105" t="s">
        <v>1420</v>
      </c>
      <c r="H875" s="103" t="s">
        <v>847</v>
      </c>
      <c r="I875" s="105" t="s">
        <v>4</v>
      </c>
      <c r="J875" s="103" t="s">
        <v>5</v>
      </c>
      <c r="K875" s="105" t="s">
        <v>1420</v>
      </c>
    </row>
    <row r="876" spans="2:11" ht="15" customHeight="1" thickBot="1">
      <c r="B876" s="161" t="s">
        <v>312</v>
      </c>
      <c r="C876" s="182" t="s">
        <v>0</v>
      </c>
      <c r="D876" s="268">
        <f>4155*(100%+20%)</f>
        <v>4986</v>
      </c>
      <c r="E876" s="254">
        <f>5213*(100%+20%)</f>
        <v>6255.599999999999</v>
      </c>
      <c r="F876" s="258">
        <f>6656*(100%+20%)</f>
        <v>7987.2</v>
      </c>
      <c r="G876" s="273">
        <f>6656*(100%+20%)</f>
        <v>7987.2</v>
      </c>
      <c r="H876" s="257">
        <f>7315*(100%+20%)</f>
        <v>8778</v>
      </c>
      <c r="I876" s="254">
        <f>8373*(100%+20%)</f>
        <v>10047.6</v>
      </c>
      <c r="J876" s="258">
        <f>9815*(100%+20%)</f>
        <v>11778</v>
      </c>
      <c r="K876" s="256">
        <f>9815*(100%+20%)</f>
        <v>11778</v>
      </c>
    </row>
    <row r="877" spans="1:11" ht="15" customHeight="1">
      <c r="A877" s="78" t="s">
        <v>82</v>
      </c>
      <c r="B877" s="162" t="s">
        <v>313</v>
      </c>
      <c r="C877" s="183" t="s">
        <v>0</v>
      </c>
      <c r="D877" s="268">
        <f>5411*(100%+20%)</f>
        <v>6493.2</v>
      </c>
      <c r="E877" s="258">
        <f>6647*(100%+20%)</f>
        <v>7976.4</v>
      </c>
      <c r="F877" s="258">
        <f>8337*(100%+20%)</f>
        <v>10004.4</v>
      </c>
      <c r="G877" s="274">
        <f>8337*(100%+20%)</f>
        <v>10004.4</v>
      </c>
      <c r="H877" s="257">
        <f>8571*(100%+20%)</f>
        <v>10285.199999999999</v>
      </c>
      <c r="I877" s="258">
        <f>9807*(100%+20%)</f>
        <v>11768.4</v>
      </c>
      <c r="J877" s="258">
        <f>11497*(100%+20%)</f>
        <v>13796.4</v>
      </c>
      <c r="K877" s="259">
        <f>11497*(100%+20%)</f>
        <v>13796.4</v>
      </c>
    </row>
    <row r="878" spans="1:11" ht="15" customHeight="1">
      <c r="A878" s="74" t="s">
        <v>77</v>
      </c>
      <c r="B878" s="162" t="s">
        <v>314</v>
      </c>
      <c r="C878" s="183" t="s">
        <v>0</v>
      </c>
      <c r="D878" s="268">
        <f>6353*(100%+20%)</f>
        <v>7623.599999999999</v>
      </c>
      <c r="E878" s="258">
        <f>7726*(100%+20%)</f>
        <v>9271.199999999999</v>
      </c>
      <c r="F878" s="258">
        <f>9601*(100%+20%)</f>
        <v>11521.199999999999</v>
      </c>
      <c r="G878" s="274">
        <f>9601*(100%+20%)</f>
        <v>11521.199999999999</v>
      </c>
      <c r="H878" s="257">
        <f>9514*(100%+20%)</f>
        <v>11416.8</v>
      </c>
      <c r="I878" s="258">
        <f>10886*(100%+20%)</f>
        <v>13063.199999999999</v>
      </c>
      <c r="J878" s="258">
        <f>12762*(100%+20%)</f>
        <v>15314.4</v>
      </c>
      <c r="K878" s="259">
        <f>12762*(100%+20%)</f>
        <v>15314.4</v>
      </c>
    </row>
    <row r="879" spans="1:11" ht="15" customHeight="1">
      <c r="A879" s="74" t="s">
        <v>76</v>
      </c>
      <c r="B879" s="162" t="s">
        <v>315</v>
      </c>
      <c r="C879" s="183" t="s">
        <v>0</v>
      </c>
      <c r="D879" s="268">
        <f>7294*(100%+20%)</f>
        <v>8752.8</v>
      </c>
      <c r="E879" s="258">
        <f>8804*(100%+20%)</f>
        <v>10564.8</v>
      </c>
      <c r="F879" s="258">
        <f>10865*(100%+20%)</f>
        <v>13038</v>
      </c>
      <c r="G879" s="274">
        <f>10865*(100%+20%)</f>
        <v>13038</v>
      </c>
      <c r="H879" s="257">
        <f>10454*(100%+20%)</f>
        <v>12544.8</v>
      </c>
      <c r="I879" s="258">
        <f>11964*(100%+20%)</f>
        <v>14356.8</v>
      </c>
      <c r="J879" s="258">
        <f>14026*(100%+20%)</f>
        <v>16831.2</v>
      </c>
      <c r="K879" s="259">
        <f>14026*(100%+20%)</f>
        <v>16831.2</v>
      </c>
    </row>
    <row r="880" spans="1:11" ht="15" customHeight="1">
      <c r="A880" s="74"/>
      <c r="B880" s="162" t="s">
        <v>1552</v>
      </c>
      <c r="C880" s="183" t="s">
        <v>0</v>
      </c>
      <c r="D880" s="268">
        <f>3595*(100%+20%)</f>
        <v>4314</v>
      </c>
      <c r="E880" s="258">
        <f>4572*(100%+20%)</f>
        <v>5486.4</v>
      </c>
      <c r="F880" s="258">
        <f>5904*(100%+20%)</f>
        <v>7084.8</v>
      </c>
      <c r="G880" s="274">
        <f>5904*(100%+20%)</f>
        <v>7084.8</v>
      </c>
      <c r="H880" s="257">
        <f>6756*(100%+20%)</f>
        <v>8107.2</v>
      </c>
      <c r="I880" s="258">
        <f>7733*(100%+20%)</f>
        <v>9279.6</v>
      </c>
      <c r="J880" s="258">
        <f>9065*(100%+20%)</f>
        <v>10878</v>
      </c>
      <c r="K880" s="259">
        <f>9065*(100%+20%)</f>
        <v>10878</v>
      </c>
    </row>
    <row r="881" spans="1:11" ht="15" customHeight="1">
      <c r="A881" s="74"/>
      <c r="B881" s="162" t="s">
        <v>1553</v>
      </c>
      <c r="C881" s="183" t="s">
        <v>0</v>
      </c>
      <c r="D881" s="268">
        <f>5556*(100%+20%)</f>
        <v>6667.2</v>
      </c>
      <c r="E881" s="258">
        <f>6814*(100%+20%)</f>
        <v>8176.799999999999</v>
      </c>
      <c r="F881" s="258">
        <f>8534*(100%+20%)</f>
        <v>10240.8</v>
      </c>
      <c r="G881" s="274">
        <f>8534*(100%+20%)</f>
        <v>10240.8</v>
      </c>
      <c r="H881" s="257">
        <f>8716*(100%+20%)</f>
        <v>10459.199999999999</v>
      </c>
      <c r="I881" s="258">
        <f>9975*(100%+20%)</f>
        <v>11970</v>
      </c>
      <c r="J881" s="258">
        <f>11694*(100%+20%)</f>
        <v>14032.8</v>
      </c>
      <c r="K881" s="259">
        <f>11694*(100%+20%)</f>
        <v>14032.8</v>
      </c>
    </row>
    <row r="882" spans="1:11" ht="15" customHeight="1">
      <c r="A882" s="74"/>
      <c r="B882" s="162" t="s">
        <v>1554</v>
      </c>
      <c r="C882" s="183" t="s">
        <v>0</v>
      </c>
      <c r="D882" s="268">
        <f>6430*(100%+20%)</f>
        <v>7716</v>
      </c>
      <c r="E882" s="258">
        <f>7814*(100%+20%)</f>
        <v>9376.8</v>
      </c>
      <c r="F882" s="258">
        <f>9705*(100%+20%)</f>
        <v>11646</v>
      </c>
      <c r="G882" s="274">
        <f>9705*(100%+20%)</f>
        <v>11646</v>
      </c>
      <c r="H882" s="257">
        <f>9590*(100%+20%)</f>
        <v>11508</v>
      </c>
      <c r="I882" s="258">
        <f>10974*(100%+20%)</f>
        <v>13168.8</v>
      </c>
      <c r="J882" s="258">
        <f>12865*(100%+20%)</f>
        <v>15438</v>
      </c>
      <c r="K882" s="259">
        <f>12865*(100%+20%)</f>
        <v>15438</v>
      </c>
    </row>
    <row r="883" spans="1:11" ht="15" customHeight="1">
      <c r="A883" s="74" t="s">
        <v>334</v>
      </c>
      <c r="B883" s="162" t="s">
        <v>316</v>
      </c>
      <c r="C883" s="183" t="s">
        <v>0</v>
      </c>
      <c r="D883" s="268">
        <f>3037*(100%+20%)</f>
        <v>3644.4</v>
      </c>
      <c r="E883" s="258">
        <f>3931*(100%+20%)</f>
        <v>4717.2</v>
      </c>
      <c r="F883" s="258">
        <f>5152*(100%+20%)</f>
        <v>6182.4</v>
      </c>
      <c r="G883" s="274">
        <f>5152*(100%+20%)</f>
        <v>6182.4</v>
      </c>
      <c r="H883" s="257">
        <f>6197*(100%+20%)</f>
        <v>7436.4</v>
      </c>
      <c r="I883" s="258">
        <f>7092*(100%+20%)</f>
        <v>8510.4</v>
      </c>
      <c r="J883" s="258">
        <f>8312*(100%+20%)</f>
        <v>9974.4</v>
      </c>
      <c r="K883" s="259">
        <f>8312*(100%+20%)</f>
        <v>9974.4</v>
      </c>
    </row>
    <row r="884" spans="1:11" ht="15" customHeight="1">
      <c r="A884" s="74" t="s">
        <v>337</v>
      </c>
      <c r="B884" s="162" t="s">
        <v>317</v>
      </c>
      <c r="C884" s="183" t="s">
        <v>0</v>
      </c>
      <c r="D884" s="268">
        <f>4020*(100%+20%)</f>
        <v>4824</v>
      </c>
      <c r="E884" s="258">
        <f>5057*(100%+20%)</f>
        <v>6068.4</v>
      </c>
      <c r="F884" s="258">
        <f>6472*(100%+20%)</f>
        <v>7766.4</v>
      </c>
      <c r="G884" s="274">
        <f>6472*(100%+20%)</f>
        <v>7766.4</v>
      </c>
      <c r="H884" s="257">
        <f>7180*(100%+20%)</f>
        <v>8616</v>
      </c>
      <c r="I884" s="258">
        <f>8216*(100%+20%)</f>
        <v>9859.199999999999</v>
      </c>
      <c r="J884" s="258">
        <f>9632*(100%+20%)</f>
        <v>11558.4</v>
      </c>
      <c r="K884" s="259">
        <f>9632*(100%+20%)</f>
        <v>11558.4</v>
      </c>
    </row>
    <row r="885" spans="1:15" ht="15" customHeight="1">
      <c r="A885" s="74" t="s">
        <v>746</v>
      </c>
      <c r="B885" s="162" t="s">
        <v>318</v>
      </c>
      <c r="C885" s="183" t="s">
        <v>0</v>
      </c>
      <c r="D885" s="268">
        <f>4758*(100%+20%)</f>
        <v>5709.599999999999</v>
      </c>
      <c r="E885" s="258">
        <f>5903*(100%+20%)</f>
        <v>7083.599999999999</v>
      </c>
      <c r="F885" s="258">
        <f>7465*(100%+20%)</f>
        <v>8958</v>
      </c>
      <c r="G885" s="274">
        <f>7465*(100%+20%)</f>
        <v>8958</v>
      </c>
      <c r="H885" s="257">
        <f>7918*(100%+20%)</f>
        <v>9501.6</v>
      </c>
      <c r="I885" s="258">
        <f>9063*(100%+20%)</f>
        <v>10875.6</v>
      </c>
      <c r="J885" s="258">
        <f>10625*(100%+20%)</f>
        <v>12750</v>
      </c>
      <c r="K885" s="259">
        <f>10625*(100%+20%)</f>
        <v>12750</v>
      </c>
      <c r="O885" s="215"/>
    </row>
    <row r="886" spans="1:11" ht="15" customHeight="1">
      <c r="A886" s="74"/>
      <c r="B886" s="162" t="s">
        <v>319</v>
      </c>
      <c r="C886" s="183" t="s">
        <v>0</v>
      </c>
      <c r="D886" s="268">
        <f>5566*(100%+20%)</f>
        <v>6679.2</v>
      </c>
      <c r="E886" s="258">
        <f>6824*(100%+20%)</f>
        <v>8188.799999999999</v>
      </c>
      <c r="F886" s="258">
        <f>8544*(100%+20%)</f>
        <v>10252.8</v>
      </c>
      <c r="G886" s="274">
        <f>8544*(100%+20%)</f>
        <v>10252.8</v>
      </c>
      <c r="H886" s="257">
        <f>8726*(100%+20%)</f>
        <v>10471.199999999999</v>
      </c>
      <c r="I886" s="258">
        <f>9984*(100%+20%)</f>
        <v>11980.8</v>
      </c>
      <c r="J886" s="258">
        <f>11705*(100%+20%)</f>
        <v>14046</v>
      </c>
      <c r="K886" s="259">
        <f>11705*(100%+20%)</f>
        <v>14046</v>
      </c>
    </row>
    <row r="887" spans="1:11" ht="15" customHeight="1">
      <c r="A887" s="74"/>
      <c r="B887" s="162" t="s">
        <v>320</v>
      </c>
      <c r="C887" s="183" t="s">
        <v>0</v>
      </c>
      <c r="D887" s="268">
        <f>2792*(100%+20%)</f>
        <v>3350.4</v>
      </c>
      <c r="E887" s="258">
        <f>3652*(100%+20%)</f>
        <v>4382.4</v>
      </c>
      <c r="F887" s="258">
        <f>4827*(100%+20%)</f>
        <v>5792.4</v>
      </c>
      <c r="G887" s="274">
        <f>4827*(100%+20%)</f>
        <v>5792.4</v>
      </c>
      <c r="H887" s="257">
        <f>5952*(100%+20%)</f>
        <v>7142.4</v>
      </c>
      <c r="I887" s="258">
        <f>6813*(100%+20%)</f>
        <v>8175.599999999999</v>
      </c>
      <c r="J887" s="258">
        <f>7986*(100%+20%)</f>
        <v>9583.199999999999</v>
      </c>
      <c r="K887" s="259">
        <f>7986*(100%+20%)</f>
        <v>9583.199999999999</v>
      </c>
    </row>
    <row r="888" spans="1:11" ht="15" customHeight="1">
      <c r="A888" s="74" t="s">
        <v>344</v>
      </c>
      <c r="B888" s="162" t="s">
        <v>321</v>
      </c>
      <c r="C888" s="183" t="s">
        <v>0</v>
      </c>
      <c r="D888" s="268">
        <f>3775*(100%+20%)</f>
        <v>4530</v>
      </c>
      <c r="E888" s="258">
        <f>4777*(100%+20%)</f>
        <v>5732.4</v>
      </c>
      <c r="F888" s="258">
        <f>6146*(100%+20%)</f>
        <v>7375.2</v>
      </c>
      <c r="G888" s="274">
        <f>6146*(100%+20%)</f>
        <v>7375.2</v>
      </c>
      <c r="H888" s="257">
        <f>6935*(100%+20%)</f>
        <v>8322</v>
      </c>
      <c r="I888" s="258">
        <f>7938*(100%+20%)</f>
        <v>9525.6</v>
      </c>
      <c r="J888" s="258">
        <f>9306*(100%+20%)</f>
        <v>11167.199999999999</v>
      </c>
      <c r="K888" s="259">
        <f>9306*(100%+20%)</f>
        <v>11167.199999999999</v>
      </c>
    </row>
    <row r="889" spans="1:11" ht="15" customHeight="1">
      <c r="A889" s="74" t="s">
        <v>760</v>
      </c>
      <c r="B889" s="162" t="s">
        <v>322</v>
      </c>
      <c r="C889" s="183" t="s">
        <v>0</v>
      </c>
      <c r="D889" s="268">
        <f>4514*(100%+20%)</f>
        <v>5416.8</v>
      </c>
      <c r="E889" s="258">
        <f>5624*(100%+20%)</f>
        <v>6748.8</v>
      </c>
      <c r="F889" s="258">
        <f>7136*(100%+20%)</f>
        <v>8563.199999999999</v>
      </c>
      <c r="G889" s="274">
        <f>7136*(100%+20%)</f>
        <v>8563.199999999999</v>
      </c>
      <c r="H889" s="257">
        <f>7674*(100%+20%)</f>
        <v>9208.8</v>
      </c>
      <c r="I889" s="258">
        <f>8785*(100%+20%)</f>
        <v>10542</v>
      </c>
      <c r="J889" s="258">
        <f>10298*(100%+20%)</f>
        <v>12357.6</v>
      </c>
      <c r="K889" s="259">
        <f>10298*(100%+20%)</f>
        <v>12357.6</v>
      </c>
    </row>
    <row r="890" spans="1:11" ht="15" customHeight="1">
      <c r="A890" s="74" t="s">
        <v>78</v>
      </c>
      <c r="B890" s="162" t="s">
        <v>323</v>
      </c>
      <c r="C890" s="183" t="s">
        <v>0</v>
      </c>
      <c r="D890" s="268">
        <f>5252*(100%+20%)</f>
        <v>6302.4</v>
      </c>
      <c r="E890" s="258">
        <f>6469*(100%+20%)</f>
        <v>7762.799999999999</v>
      </c>
      <c r="F890" s="258">
        <f>8128*(100%+20%)</f>
        <v>9753.6</v>
      </c>
      <c r="G890" s="274">
        <f>8128*(100%+20%)</f>
        <v>9753.6</v>
      </c>
      <c r="H890" s="257">
        <f>8412*(100%+20%)</f>
        <v>10094.4</v>
      </c>
      <c r="I890" s="258">
        <f>9628*(100%+20%)</f>
        <v>11553.6</v>
      </c>
      <c r="J890" s="258">
        <f>11288*(100%+20%)</f>
        <v>13545.6</v>
      </c>
      <c r="K890" s="259">
        <f>11288*(100%+20%)</f>
        <v>13545.6</v>
      </c>
    </row>
    <row r="891" spans="1:11" ht="15" customHeight="1">
      <c r="A891" s="74" t="s">
        <v>79</v>
      </c>
      <c r="B891" s="162" t="s">
        <v>324</v>
      </c>
      <c r="C891" s="183" t="s">
        <v>0</v>
      </c>
      <c r="D891" s="268">
        <f>2636*(100%+20%)</f>
        <v>3163.2</v>
      </c>
      <c r="E891" s="258">
        <f>3475*(100%+20%)</f>
        <v>4170</v>
      </c>
      <c r="F891" s="258">
        <f>4616*(100%+20%)</f>
        <v>5539.2</v>
      </c>
      <c r="G891" s="274">
        <f>4616*(100%+20%)</f>
        <v>5539.2</v>
      </c>
      <c r="H891" s="257">
        <f>5797*(100%+20%)</f>
        <v>6956.4</v>
      </c>
      <c r="I891" s="258">
        <f>6635*(100%+20%)</f>
        <v>7962</v>
      </c>
      <c r="J891" s="258">
        <f>7777*(100%+20%)</f>
        <v>9332.4</v>
      </c>
      <c r="K891" s="259">
        <f>7777*(100%+20%)</f>
        <v>9332.4</v>
      </c>
    </row>
    <row r="892" spans="1:11" ht="15" customHeight="1">
      <c r="A892" s="74" t="s">
        <v>340</v>
      </c>
      <c r="B892" s="162" t="s">
        <v>325</v>
      </c>
      <c r="C892" s="183" t="s">
        <v>0</v>
      </c>
      <c r="D892" s="268">
        <f>3620*(100%+20%)</f>
        <v>4344</v>
      </c>
      <c r="E892" s="258">
        <f>4599*(100%+20%)</f>
        <v>5518.8</v>
      </c>
      <c r="F892" s="258">
        <f>5936*(100%+20%)</f>
        <v>7123.2</v>
      </c>
      <c r="G892" s="274">
        <f>5936*(100%+20%)</f>
        <v>7123.2</v>
      </c>
      <c r="H892" s="257">
        <f>6781*(100%+20%)</f>
        <v>8137.2</v>
      </c>
      <c r="I892" s="258">
        <f>7759*(100%+20%)</f>
        <v>9310.8</v>
      </c>
      <c r="J892" s="258">
        <f>9097*(100%+20%)</f>
        <v>10916.4</v>
      </c>
      <c r="K892" s="259">
        <f>9097*(100%+20%)</f>
        <v>10916.4</v>
      </c>
    </row>
    <row r="893" spans="1:11" ht="15" customHeight="1">
      <c r="A893" s="74" t="s">
        <v>470</v>
      </c>
      <c r="B893" s="162" t="s">
        <v>326</v>
      </c>
      <c r="C893" s="183" t="s">
        <v>0</v>
      </c>
      <c r="D893" s="268">
        <f>4358*(100%+20%)</f>
        <v>5229.599999999999</v>
      </c>
      <c r="E893" s="258">
        <f>5440*(100%+20%)</f>
        <v>6528</v>
      </c>
      <c r="F893" s="258">
        <f>6922*(100%+20%)</f>
        <v>8306.4</v>
      </c>
      <c r="G893" s="274">
        <f>6922*(100%+20%)</f>
        <v>8306.4</v>
      </c>
      <c r="H893" s="257">
        <f>7518*(100%+20%)</f>
        <v>9021.6</v>
      </c>
      <c r="I893" s="258">
        <f>8600*(100%+20%)</f>
        <v>10320</v>
      </c>
      <c r="J893" s="258">
        <f>10082*(100%+20%)</f>
        <v>12098.4</v>
      </c>
      <c r="K893" s="259">
        <f>10082*(100%+20%)</f>
        <v>12098.4</v>
      </c>
    </row>
    <row r="894" spans="1:11" ht="15" customHeight="1">
      <c r="A894" s="74" t="s">
        <v>338</v>
      </c>
      <c r="B894" s="162" t="s">
        <v>327</v>
      </c>
      <c r="C894" s="183" t="s">
        <v>0</v>
      </c>
      <c r="D894" s="268">
        <f>5095*(100%+20%)</f>
        <v>6114</v>
      </c>
      <c r="E894" s="258">
        <f>6287*(100%+20%)</f>
        <v>7544.4</v>
      </c>
      <c r="F894" s="258">
        <f>7915*(100%+20%)</f>
        <v>9498</v>
      </c>
      <c r="G894" s="274">
        <f>7915*(100%+20%)</f>
        <v>9498</v>
      </c>
      <c r="H894" s="257">
        <f>8255*(100%+20%)</f>
        <v>9906</v>
      </c>
      <c r="I894" s="258">
        <f>9446*(100%+20%)</f>
        <v>11335.199999999999</v>
      </c>
      <c r="J894" s="258">
        <f>11075*(100%+20%)</f>
        <v>13290</v>
      </c>
      <c r="K894" s="259">
        <f>11075*(100%+20%)</f>
        <v>13290</v>
      </c>
    </row>
    <row r="895" spans="1:11" ht="15" customHeight="1">
      <c r="A895" s="95"/>
      <c r="B895" s="162" t="s">
        <v>328</v>
      </c>
      <c r="C895" s="183" t="s">
        <v>0</v>
      </c>
      <c r="D895" s="268">
        <f>470*(100%+20%)</f>
        <v>564</v>
      </c>
      <c r="E895" s="258">
        <f>995*(100%+20%)</f>
        <v>1194</v>
      </c>
      <c r="F895" s="258">
        <f>1711*(100%+20%)</f>
        <v>2053.2</v>
      </c>
      <c r="G895" s="274">
        <f>1711*(100%+20%)</f>
        <v>2053.2</v>
      </c>
      <c r="H895" s="257">
        <f>3630*(100%+20%)</f>
        <v>4356</v>
      </c>
      <c r="I895" s="258">
        <f>4155*(100%+20%)</f>
        <v>4986</v>
      </c>
      <c r="J895" s="258">
        <f>4871*(100%+20%)</f>
        <v>5845.2</v>
      </c>
      <c r="K895" s="259">
        <f>4871*(100%+20%)</f>
        <v>5845.2</v>
      </c>
    </row>
    <row r="896" spans="1:11" ht="15" customHeight="1">
      <c r="A896" s="95"/>
      <c r="B896" s="162" t="s">
        <v>329</v>
      </c>
      <c r="C896" s="183" t="s">
        <v>0</v>
      </c>
      <c r="D896" s="268">
        <f>1454*(100%+20%)</f>
        <v>1744.8</v>
      </c>
      <c r="E896" s="258">
        <f>2119*(100%+20%)</f>
        <v>2542.7999999999997</v>
      </c>
      <c r="F896" s="258">
        <f>3028*(100%+20%)</f>
        <v>3633.6</v>
      </c>
      <c r="G896" s="274">
        <f>3028*(100%+20%)</f>
        <v>3633.6</v>
      </c>
      <c r="H896" s="257">
        <f>4614*(100%+20%)</f>
        <v>5536.8</v>
      </c>
      <c r="I896" s="258">
        <f>5279*(100%+20%)</f>
        <v>6334.8</v>
      </c>
      <c r="J896" s="258">
        <f>6189*(100%+20%)</f>
        <v>7426.799999999999</v>
      </c>
      <c r="K896" s="259">
        <f>6189*(100%+20%)</f>
        <v>7426.799999999999</v>
      </c>
    </row>
    <row r="897" spans="1:11" ht="15" customHeight="1">
      <c r="A897" s="95"/>
      <c r="B897" s="162" t="s">
        <v>330</v>
      </c>
      <c r="C897" s="183" t="s">
        <v>0</v>
      </c>
      <c r="D897" s="268">
        <f>2189*(100%+20%)</f>
        <v>2626.7999999999997</v>
      </c>
      <c r="E897" s="258">
        <f>2962*(100%+20%)</f>
        <v>3554.4</v>
      </c>
      <c r="F897" s="258">
        <f>4018*(100%+20%)</f>
        <v>4821.599999999999</v>
      </c>
      <c r="G897" s="274">
        <f>4018*(100%+20%)</f>
        <v>4821.599999999999</v>
      </c>
      <c r="H897" s="257">
        <f>5351*(100%+20%)</f>
        <v>6421.2</v>
      </c>
      <c r="I897" s="258">
        <f>6122*(100%+20%)</f>
        <v>7346.4</v>
      </c>
      <c r="J897" s="258">
        <f>7178*(100%+20%)</f>
        <v>8613.6</v>
      </c>
      <c r="K897" s="259">
        <f>7178*(100%+20%)</f>
        <v>8613.6</v>
      </c>
    </row>
    <row r="898" spans="1:11" ht="15" customHeight="1">
      <c r="A898" s="95"/>
      <c r="B898" s="162" t="s">
        <v>331</v>
      </c>
      <c r="C898" s="193" t="s">
        <v>0</v>
      </c>
      <c r="D898" s="268">
        <f>2929*(100%+20%)</f>
        <v>3514.7999999999997</v>
      </c>
      <c r="E898" s="258">
        <f>3807*(100%+20%)</f>
        <v>4568.4</v>
      </c>
      <c r="F898" s="258">
        <f>5007*(100%+20%)</f>
        <v>6008.4</v>
      </c>
      <c r="G898" s="274">
        <f>5007*(100%+20%)</f>
        <v>6008.4</v>
      </c>
      <c r="H898" s="257">
        <f>6089*(100%+20%)</f>
        <v>7306.8</v>
      </c>
      <c r="I898" s="258">
        <f>6967*(100%+20%)</f>
        <v>8360.4</v>
      </c>
      <c r="J898" s="258">
        <f>8167*(100%+20%)</f>
        <v>9800.4</v>
      </c>
      <c r="K898" s="259">
        <f>8167*(100%+20%)</f>
        <v>9800.4</v>
      </c>
    </row>
    <row r="899" spans="1:11" ht="15" customHeight="1">
      <c r="A899" s="95"/>
      <c r="B899" s="162" t="s">
        <v>1547</v>
      </c>
      <c r="C899" s="191" t="s">
        <v>0</v>
      </c>
      <c r="D899" s="268">
        <f>1733*(100%+20%)</f>
        <v>2079.6</v>
      </c>
      <c r="E899" s="258">
        <f>2260*(100%+20%)</f>
        <v>2712</v>
      </c>
      <c r="F899" s="258">
        <f aca="true" t="shared" si="32" ref="F899:G902">2975*(100%+20%)</f>
        <v>3570</v>
      </c>
      <c r="G899" s="274">
        <f t="shared" si="32"/>
        <v>3570</v>
      </c>
      <c r="H899" s="257">
        <f>3630*(100%+20%)</f>
        <v>4356</v>
      </c>
      <c r="I899" s="258">
        <f>4155*(100%+20%)</f>
        <v>4986</v>
      </c>
      <c r="J899" s="258">
        <f aca="true" t="shared" si="33" ref="J899:K902">4871*(100%+20%)</f>
        <v>5845.2</v>
      </c>
      <c r="K899" s="259">
        <f t="shared" si="33"/>
        <v>5845.2</v>
      </c>
    </row>
    <row r="900" spans="1:11" ht="15" customHeight="1">
      <c r="A900" s="95"/>
      <c r="B900" s="162" t="s">
        <v>1548</v>
      </c>
      <c r="C900" s="183" t="s">
        <v>0</v>
      </c>
      <c r="D900" s="268">
        <f>1733*(100%+20%)</f>
        <v>2079.6</v>
      </c>
      <c r="E900" s="258">
        <f>2260*(100%+20%)</f>
        <v>2712</v>
      </c>
      <c r="F900" s="258">
        <f t="shared" si="32"/>
        <v>3570</v>
      </c>
      <c r="G900" s="274">
        <f t="shared" si="32"/>
        <v>3570</v>
      </c>
      <c r="H900" s="257">
        <f>3630*(100%+20%)</f>
        <v>4356</v>
      </c>
      <c r="I900" s="258">
        <f>4155*(100%+20%)</f>
        <v>4986</v>
      </c>
      <c r="J900" s="258">
        <f t="shared" si="33"/>
        <v>5845.2</v>
      </c>
      <c r="K900" s="259">
        <f t="shared" si="33"/>
        <v>5845.2</v>
      </c>
    </row>
    <row r="901" spans="1:11" ht="15" customHeight="1">
      <c r="A901" s="95"/>
      <c r="B901" s="162" t="s">
        <v>1549</v>
      </c>
      <c r="C901" s="183" t="s">
        <v>0</v>
      </c>
      <c r="D901" s="268">
        <f>1733*(100%+20%)</f>
        <v>2079.6</v>
      </c>
      <c r="E901" s="258">
        <f>2260*(100%+20%)</f>
        <v>2712</v>
      </c>
      <c r="F901" s="258">
        <f t="shared" si="32"/>
        <v>3570</v>
      </c>
      <c r="G901" s="274">
        <f t="shared" si="32"/>
        <v>3570</v>
      </c>
      <c r="H901" s="257">
        <f>3630*(100%+20%)</f>
        <v>4356</v>
      </c>
      <c r="I901" s="258">
        <f>4155*(100%+20%)</f>
        <v>4986</v>
      </c>
      <c r="J901" s="258">
        <f t="shared" si="33"/>
        <v>5845.2</v>
      </c>
      <c r="K901" s="259">
        <f t="shared" si="33"/>
        <v>5845.2</v>
      </c>
    </row>
    <row r="902" spans="1:11" ht="15" customHeight="1">
      <c r="A902" s="95"/>
      <c r="B902" s="162" t="s">
        <v>1550</v>
      </c>
      <c r="C902" s="183" t="s">
        <v>0</v>
      </c>
      <c r="D902" s="268">
        <f>1733*(100%+20%)</f>
        <v>2079.6</v>
      </c>
      <c r="E902" s="258">
        <f>2260*(100%+20%)</f>
        <v>2712</v>
      </c>
      <c r="F902" s="258">
        <f t="shared" si="32"/>
        <v>3570</v>
      </c>
      <c r="G902" s="274">
        <f t="shared" si="32"/>
        <v>3570</v>
      </c>
      <c r="H902" s="257">
        <f>3630*(100%+20%)</f>
        <v>4356</v>
      </c>
      <c r="I902" s="258">
        <f>4155*(100%+20%)</f>
        <v>4986</v>
      </c>
      <c r="J902" s="258">
        <f t="shared" si="33"/>
        <v>5845.2</v>
      </c>
      <c r="K902" s="259">
        <f t="shared" si="33"/>
        <v>5845.2</v>
      </c>
    </row>
    <row r="903" spans="1:11" ht="15" customHeight="1" thickBot="1">
      <c r="A903" s="95"/>
      <c r="B903" s="163" t="s">
        <v>1551</v>
      </c>
      <c r="C903" s="189" t="s">
        <v>0</v>
      </c>
      <c r="D903" s="275">
        <f>1798*(100%+20%)</f>
        <v>2157.6</v>
      </c>
      <c r="E903" s="261">
        <f>2428*(100%+20%)</f>
        <v>2913.6</v>
      </c>
      <c r="F903" s="261">
        <f>3288*(100%+20%)</f>
        <v>3945.6</v>
      </c>
      <c r="G903" s="276">
        <f>3288*(100%+20%)</f>
        <v>3945.6</v>
      </c>
      <c r="H903" s="260">
        <f>4358*(100%+20%)</f>
        <v>5229.599999999999</v>
      </c>
      <c r="I903" s="261">
        <f>4988*(100%+20%)</f>
        <v>5985.599999999999</v>
      </c>
      <c r="J903" s="261">
        <f>5847*(100%+20%)</f>
        <v>7016.4</v>
      </c>
      <c r="K903" s="262">
        <f>5847*(100%+20%)</f>
        <v>7016.4</v>
      </c>
    </row>
    <row r="904" spans="1:11" ht="13.5" thickBot="1">
      <c r="A904" s="95"/>
      <c r="B904" s="366" t="s">
        <v>1555</v>
      </c>
      <c r="C904" s="367"/>
      <c r="D904" s="367"/>
      <c r="E904" s="367"/>
      <c r="F904" s="367"/>
      <c r="G904" s="367"/>
      <c r="H904" s="367"/>
      <c r="I904" s="367"/>
      <c r="J904" s="367"/>
      <c r="K904" s="368"/>
    </row>
    <row r="905" spans="1:11" ht="21" customHeight="1" thickBot="1">
      <c r="A905" s="84" t="s">
        <v>451</v>
      </c>
      <c r="B905" s="374" t="s">
        <v>759</v>
      </c>
      <c r="C905" s="334"/>
      <c r="D905" s="334"/>
      <c r="E905" s="334"/>
      <c r="F905" s="334"/>
      <c r="G905" s="334"/>
      <c r="H905" s="334"/>
      <c r="I905" s="334"/>
      <c r="J905" s="334"/>
      <c r="K905" s="335"/>
    </row>
    <row r="906" spans="1:11" ht="15" customHeight="1">
      <c r="A906" s="84" t="s">
        <v>452</v>
      </c>
      <c r="B906" s="161" t="s">
        <v>476</v>
      </c>
      <c r="C906" s="190" t="s">
        <v>9</v>
      </c>
      <c r="D906" s="342">
        <v>960</v>
      </c>
      <c r="E906" s="343"/>
      <c r="F906" s="343"/>
      <c r="G906" s="343"/>
      <c r="H906" s="343"/>
      <c r="I906" s="343"/>
      <c r="J906" s="343"/>
      <c r="K906" s="344"/>
    </row>
    <row r="907" spans="1:11" ht="15" customHeight="1">
      <c r="A907" s="84" t="s">
        <v>453</v>
      </c>
      <c r="B907" s="162" t="s">
        <v>852</v>
      </c>
      <c r="C907" s="176" t="s">
        <v>9</v>
      </c>
      <c r="D907" s="297">
        <v>2952</v>
      </c>
      <c r="E907" s="298"/>
      <c r="F907" s="298"/>
      <c r="G907" s="298"/>
      <c r="H907" s="298"/>
      <c r="I907" s="298"/>
      <c r="J907" s="298"/>
      <c r="K907" s="299"/>
    </row>
    <row r="908" spans="1:11" ht="15" customHeight="1">
      <c r="A908" s="84"/>
      <c r="B908" s="162" t="s">
        <v>473</v>
      </c>
      <c r="C908" s="176" t="s">
        <v>9</v>
      </c>
      <c r="D908" s="297">
        <v>1919</v>
      </c>
      <c r="E908" s="298"/>
      <c r="F908" s="298"/>
      <c r="G908" s="298"/>
      <c r="H908" s="298"/>
      <c r="I908" s="298"/>
      <c r="J908" s="298"/>
      <c r="K908" s="299"/>
    </row>
    <row r="909" spans="1:11" ht="15" customHeight="1" thickBot="1">
      <c r="A909" s="84" t="s">
        <v>454</v>
      </c>
      <c r="B909" s="163" t="s">
        <v>1504</v>
      </c>
      <c r="C909" s="179" t="s">
        <v>9</v>
      </c>
      <c r="D909" s="345">
        <v>165</v>
      </c>
      <c r="E909" s="346"/>
      <c r="F909" s="346"/>
      <c r="G909" s="346"/>
      <c r="H909" s="346"/>
      <c r="I909" s="346"/>
      <c r="J909" s="346"/>
      <c r="K909" s="347"/>
    </row>
    <row r="910" spans="1:11" ht="21" customHeight="1" thickBot="1">
      <c r="A910" s="84" t="s">
        <v>455</v>
      </c>
      <c r="B910" s="375" t="s">
        <v>56</v>
      </c>
      <c r="C910" s="334"/>
      <c r="D910" s="334"/>
      <c r="E910" s="334"/>
      <c r="F910" s="334"/>
      <c r="G910" s="334"/>
      <c r="H910" s="334"/>
      <c r="I910" s="334"/>
      <c r="J910" s="334"/>
      <c r="K910" s="335"/>
    </row>
    <row r="911" spans="1:11" ht="15" customHeight="1">
      <c r="A911" s="84" t="s">
        <v>456</v>
      </c>
      <c r="B911" s="161" t="s">
        <v>196</v>
      </c>
      <c r="C911" s="191" t="s">
        <v>9</v>
      </c>
      <c r="D911" s="339">
        <v>599</v>
      </c>
      <c r="E911" s="340"/>
      <c r="F911" s="340"/>
      <c r="G911" s="340"/>
      <c r="H911" s="340"/>
      <c r="I911" s="340"/>
      <c r="J911" s="340"/>
      <c r="K911" s="341"/>
    </row>
    <row r="912" spans="1:11" ht="15" customHeight="1">
      <c r="A912" s="84" t="s">
        <v>457</v>
      </c>
      <c r="B912" s="162" t="s">
        <v>57</v>
      </c>
      <c r="C912" s="183" t="s">
        <v>9</v>
      </c>
      <c r="D912" s="294">
        <v>3965</v>
      </c>
      <c r="E912" s="295"/>
      <c r="F912" s="295"/>
      <c r="G912" s="295"/>
      <c r="H912" s="295"/>
      <c r="I912" s="295"/>
      <c r="J912" s="295"/>
      <c r="K912" s="296"/>
    </row>
    <row r="913" spans="1:11" ht="15" customHeight="1">
      <c r="A913" s="84" t="s">
        <v>458</v>
      </c>
      <c r="B913" s="162" t="s">
        <v>58</v>
      </c>
      <c r="C913" s="183" t="s">
        <v>9</v>
      </c>
      <c r="D913" s="294">
        <v>5504</v>
      </c>
      <c r="E913" s="295"/>
      <c r="F913" s="295"/>
      <c r="G913" s="295"/>
      <c r="H913" s="295"/>
      <c r="I913" s="295"/>
      <c r="J913" s="295"/>
      <c r="K913" s="296"/>
    </row>
    <row r="914" spans="1:11" ht="15" customHeight="1">
      <c r="A914" s="84" t="s">
        <v>459</v>
      </c>
      <c r="B914" s="162" t="s">
        <v>336</v>
      </c>
      <c r="C914" s="183" t="s">
        <v>0</v>
      </c>
      <c r="D914" s="294">
        <v>4542</v>
      </c>
      <c r="E914" s="295"/>
      <c r="F914" s="295"/>
      <c r="G914" s="295"/>
      <c r="H914" s="295"/>
      <c r="I914" s="295"/>
      <c r="J914" s="295"/>
      <c r="K914" s="296"/>
    </row>
    <row r="915" spans="1:11" ht="15" customHeight="1">
      <c r="A915" s="84" t="s">
        <v>460</v>
      </c>
      <c r="B915" s="162" t="s">
        <v>1400</v>
      </c>
      <c r="C915" s="183" t="s">
        <v>0</v>
      </c>
      <c r="D915" s="294">
        <v>2363</v>
      </c>
      <c r="E915" s="295"/>
      <c r="F915" s="295"/>
      <c r="G915" s="295"/>
      <c r="H915" s="295"/>
      <c r="I915" s="295"/>
      <c r="J915" s="295"/>
      <c r="K915" s="296"/>
    </row>
    <row r="916" spans="1:11" ht="15" customHeight="1">
      <c r="A916" s="84" t="s">
        <v>461</v>
      </c>
      <c r="B916" s="162" t="s">
        <v>475</v>
      </c>
      <c r="C916" s="183" t="s">
        <v>0</v>
      </c>
      <c r="D916" s="294">
        <v>320</v>
      </c>
      <c r="E916" s="295"/>
      <c r="F916" s="295"/>
      <c r="G916" s="295"/>
      <c r="H916" s="295"/>
      <c r="I916" s="295"/>
      <c r="J916" s="295"/>
      <c r="K916" s="296"/>
    </row>
    <row r="917" spans="1:11" ht="15" customHeight="1" thickBot="1">
      <c r="A917" s="84" t="s">
        <v>462</v>
      </c>
      <c r="B917" s="163" t="s">
        <v>1490</v>
      </c>
      <c r="C917" s="184" t="s">
        <v>0</v>
      </c>
      <c r="D917" s="285">
        <v>751</v>
      </c>
      <c r="E917" s="286"/>
      <c r="F917" s="286"/>
      <c r="G917" s="286"/>
      <c r="H917" s="286"/>
      <c r="I917" s="286"/>
      <c r="J917" s="286"/>
      <c r="K917" s="287"/>
    </row>
    <row r="918" spans="1:11" ht="21" customHeight="1" thickBot="1">
      <c r="A918" s="84" t="s">
        <v>463</v>
      </c>
      <c r="B918" s="375" t="s">
        <v>1401</v>
      </c>
      <c r="C918" s="334"/>
      <c r="D918" s="334"/>
      <c r="E918" s="334"/>
      <c r="F918" s="334"/>
      <c r="G918" s="334"/>
      <c r="H918" s="334"/>
      <c r="I918" s="334"/>
      <c r="J918" s="334"/>
      <c r="K918" s="335"/>
    </row>
    <row r="919" spans="1:11" ht="15" customHeight="1">
      <c r="A919" s="84" t="s">
        <v>464</v>
      </c>
      <c r="B919" s="161" t="s">
        <v>71</v>
      </c>
      <c r="C919" s="191" t="s">
        <v>9</v>
      </c>
      <c r="D919" s="339">
        <v>2479</v>
      </c>
      <c r="E919" s="340"/>
      <c r="F919" s="340"/>
      <c r="G919" s="340"/>
      <c r="H919" s="340"/>
      <c r="I919" s="340"/>
      <c r="J919" s="340"/>
      <c r="K919" s="341"/>
    </row>
    <row r="920" spans="1:11" ht="15" customHeight="1">
      <c r="A920" s="84" t="s">
        <v>465</v>
      </c>
      <c r="B920" s="162" t="s">
        <v>72</v>
      </c>
      <c r="C920" s="183" t="s">
        <v>9</v>
      </c>
      <c r="D920" s="294">
        <v>860</v>
      </c>
      <c r="E920" s="295"/>
      <c r="F920" s="295"/>
      <c r="G920" s="295"/>
      <c r="H920" s="295"/>
      <c r="I920" s="295"/>
      <c r="J920" s="295"/>
      <c r="K920" s="296"/>
    </row>
    <row r="921" spans="1:11" ht="15" customHeight="1">
      <c r="A921" s="84" t="s">
        <v>466</v>
      </c>
      <c r="B921" s="162" t="s">
        <v>341</v>
      </c>
      <c r="C921" s="183" t="s">
        <v>9</v>
      </c>
      <c r="D921" s="294">
        <v>116</v>
      </c>
      <c r="E921" s="295"/>
      <c r="F921" s="295"/>
      <c r="G921" s="295"/>
      <c r="H921" s="295"/>
      <c r="I921" s="295"/>
      <c r="J921" s="295"/>
      <c r="K921" s="296"/>
    </row>
    <row r="922" spans="1:11" ht="15" customHeight="1">
      <c r="A922" s="84" t="s">
        <v>467</v>
      </c>
      <c r="B922" s="162" t="s">
        <v>333</v>
      </c>
      <c r="C922" s="183" t="s">
        <v>9</v>
      </c>
      <c r="D922" s="294">
        <v>1</v>
      </c>
      <c r="E922" s="295"/>
      <c r="F922" s="295"/>
      <c r="G922" s="295"/>
      <c r="H922" s="295"/>
      <c r="I922" s="295"/>
      <c r="J922" s="295"/>
      <c r="K922" s="296"/>
    </row>
    <row r="923" spans="1:11" ht="15" customHeight="1">
      <c r="A923" s="84"/>
      <c r="B923" s="162" t="s">
        <v>1556</v>
      </c>
      <c r="C923" s="177" t="s">
        <v>30</v>
      </c>
      <c r="D923" s="294">
        <v>37</v>
      </c>
      <c r="E923" s="295"/>
      <c r="F923" s="295"/>
      <c r="G923" s="295"/>
      <c r="H923" s="295"/>
      <c r="I923" s="295"/>
      <c r="J923" s="295"/>
      <c r="K923" s="296"/>
    </row>
    <row r="924" spans="1:11" ht="15" customHeight="1">
      <c r="A924" s="84"/>
      <c r="B924" s="162" t="s">
        <v>1557</v>
      </c>
      <c r="C924" s="177" t="s">
        <v>30</v>
      </c>
      <c r="D924" s="294">
        <v>37</v>
      </c>
      <c r="E924" s="295"/>
      <c r="F924" s="295"/>
      <c r="G924" s="295"/>
      <c r="H924" s="295"/>
      <c r="I924" s="295"/>
      <c r="J924" s="295"/>
      <c r="K924" s="296"/>
    </row>
    <row r="925" spans="1:11" ht="15" customHeight="1">
      <c r="A925" s="84" t="s">
        <v>468</v>
      </c>
      <c r="B925" s="162" t="s">
        <v>1402</v>
      </c>
      <c r="C925" s="183" t="s">
        <v>9</v>
      </c>
      <c r="D925" s="294">
        <v>424</v>
      </c>
      <c r="E925" s="295"/>
      <c r="F925" s="295"/>
      <c r="G925" s="295"/>
      <c r="H925" s="295"/>
      <c r="I925" s="295"/>
      <c r="J925" s="295"/>
      <c r="K925" s="296"/>
    </row>
    <row r="926" spans="1:11" ht="15" customHeight="1">
      <c r="A926" s="84" t="s">
        <v>469</v>
      </c>
      <c r="B926" s="162" t="s">
        <v>345</v>
      </c>
      <c r="C926" s="183" t="s">
        <v>30</v>
      </c>
      <c r="D926" s="294">
        <v>145</v>
      </c>
      <c r="E926" s="295"/>
      <c r="F926" s="295"/>
      <c r="G926" s="295"/>
      <c r="H926" s="295"/>
      <c r="I926" s="295"/>
      <c r="J926" s="295"/>
      <c r="K926" s="296"/>
    </row>
    <row r="927" spans="1:11" ht="15" customHeight="1">
      <c r="A927" s="25"/>
      <c r="B927" s="162" t="s">
        <v>761</v>
      </c>
      <c r="C927" s="183" t="s">
        <v>9</v>
      </c>
      <c r="D927" s="294">
        <v>512</v>
      </c>
      <c r="E927" s="295"/>
      <c r="F927" s="295"/>
      <c r="G927" s="295"/>
      <c r="H927" s="295"/>
      <c r="I927" s="295"/>
      <c r="J927" s="295"/>
      <c r="K927" s="296"/>
    </row>
    <row r="928" spans="1:11" ht="15" customHeight="1">
      <c r="A928" s="25"/>
      <c r="B928" s="162" t="s">
        <v>1491</v>
      </c>
      <c r="C928" s="183" t="s">
        <v>30</v>
      </c>
      <c r="D928" s="294">
        <v>443</v>
      </c>
      <c r="E928" s="295"/>
      <c r="F928" s="295"/>
      <c r="G928" s="295"/>
      <c r="H928" s="295"/>
      <c r="I928" s="295"/>
      <c r="J928" s="295"/>
      <c r="K928" s="296"/>
    </row>
    <row r="929" spans="2:11" ht="15" customHeight="1">
      <c r="B929" s="162" t="s">
        <v>1492</v>
      </c>
      <c r="C929" s="183" t="s">
        <v>30</v>
      </c>
      <c r="D929" s="294">
        <v>443</v>
      </c>
      <c r="E929" s="295"/>
      <c r="F929" s="295"/>
      <c r="G929" s="295"/>
      <c r="H929" s="295"/>
      <c r="I929" s="295"/>
      <c r="J929" s="295"/>
      <c r="K929" s="296"/>
    </row>
    <row r="930" spans="2:11" ht="15" customHeight="1">
      <c r="B930" s="162" t="s">
        <v>1558</v>
      </c>
      <c r="C930" s="177" t="s">
        <v>30</v>
      </c>
      <c r="D930" s="294">
        <v>1</v>
      </c>
      <c r="E930" s="295"/>
      <c r="F930" s="295"/>
      <c r="G930" s="295"/>
      <c r="H930" s="295"/>
      <c r="I930" s="295"/>
      <c r="J930" s="295"/>
      <c r="K930" s="296"/>
    </row>
    <row r="931" spans="2:11" ht="15" customHeight="1">
      <c r="B931" s="162" t="s">
        <v>1559</v>
      </c>
      <c r="C931" s="177" t="s">
        <v>30</v>
      </c>
      <c r="D931" s="294">
        <v>84</v>
      </c>
      <c r="E931" s="295"/>
      <c r="F931" s="295"/>
      <c r="G931" s="295"/>
      <c r="H931" s="295"/>
      <c r="I931" s="295"/>
      <c r="J931" s="295"/>
      <c r="K931" s="296"/>
    </row>
    <row r="932" spans="2:11" ht="15" customHeight="1">
      <c r="B932" s="162" t="s">
        <v>1560</v>
      </c>
      <c r="C932" s="177" t="s">
        <v>9</v>
      </c>
      <c r="D932" s="294">
        <v>84</v>
      </c>
      <c r="E932" s="295"/>
      <c r="F932" s="295"/>
      <c r="G932" s="295"/>
      <c r="H932" s="295"/>
      <c r="I932" s="295"/>
      <c r="J932" s="295"/>
      <c r="K932" s="296"/>
    </row>
    <row r="933" spans="2:11" ht="15" customHeight="1">
      <c r="B933" s="162" t="s">
        <v>74</v>
      </c>
      <c r="C933" s="183" t="s">
        <v>0</v>
      </c>
      <c r="D933" s="294">
        <v>118</v>
      </c>
      <c r="E933" s="295"/>
      <c r="F933" s="295"/>
      <c r="G933" s="295"/>
      <c r="H933" s="295"/>
      <c r="I933" s="295"/>
      <c r="J933" s="295"/>
      <c r="K933" s="296"/>
    </row>
    <row r="934" spans="2:11" ht="15" customHeight="1">
      <c r="B934" s="162" t="s">
        <v>75</v>
      </c>
      <c r="C934" s="183" t="s">
        <v>0</v>
      </c>
      <c r="D934" s="294">
        <v>227</v>
      </c>
      <c r="E934" s="295"/>
      <c r="F934" s="295"/>
      <c r="G934" s="295"/>
      <c r="H934" s="295"/>
      <c r="I934" s="295"/>
      <c r="J934" s="295"/>
      <c r="K934" s="296"/>
    </row>
    <row r="935" spans="2:11" ht="15" customHeight="1">
      <c r="B935" s="162" t="s">
        <v>339</v>
      </c>
      <c r="C935" s="183" t="s">
        <v>0</v>
      </c>
      <c r="D935" s="294">
        <v>432</v>
      </c>
      <c r="E935" s="295"/>
      <c r="F935" s="295"/>
      <c r="G935" s="295"/>
      <c r="H935" s="295"/>
      <c r="I935" s="295"/>
      <c r="J935" s="295"/>
      <c r="K935" s="296"/>
    </row>
    <row r="936" spans="2:11" ht="15" customHeight="1">
      <c r="B936" s="162" t="s">
        <v>471</v>
      </c>
      <c r="C936" s="183" t="s">
        <v>9</v>
      </c>
      <c r="D936" s="294">
        <v>1</v>
      </c>
      <c r="E936" s="295"/>
      <c r="F936" s="295"/>
      <c r="G936" s="295"/>
      <c r="H936" s="295"/>
      <c r="I936" s="295"/>
      <c r="J936" s="295"/>
      <c r="K936" s="296"/>
    </row>
    <row r="937" spans="2:11" ht="15" customHeight="1">
      <c r="B937" s="162" t="s">
        <v>55</v>
      </c>
      <c r="C937" s="183" t="s">
        <v>9</v>
      </c>
      <c r="D937" s="294">
        <v>1586</v>
      </c>
      <c r="E937" s="295"/>
      <c r="F937" s="295"/>
      <c r="G937" s="295"/>
      <c r="H937" s="295"/>
      <c r="I937" s="295"/>
      <c r="J937" s="295"/>
      <c r="K937" s="296"/>
    </row>
    <row r="938" spans="2:11" ht="15" customHeight="1">
      <c r="B938" s="162" t="s">
        <v>770</v>
      </c>
      <c r="C938" s="183" t="s">
        <v>9</v>
      </c>
      <c r="D938" s="294">
        <v>659</v>
      </c>
      <c r="E938" s="295"/>
      <c r="F938" s="295"/>
      <c r="G938" s="295"/>
      <c r="H938" s="295"/>
      <c r="I938" s="295"/>
      <c r="J938" s="295"/>
      <c r="K938" s="296"/>
    </row>
    <row r="939" spans="2:11" ht="15" customHeight="1">
      <c r="B939" s="162" t="s">
        <v>1561</v>
      </c>
      <c r="C939" s="177" t="s">
        <v>9</v>
      </c>
      <c r="D939" s="294">
        <v>1</v>
      </c>
      <c r="E939" s="295"/>
      <c r="F939" s="295"/>
      <c r="G939" s="295"/>
      <c r="H939" s="295"/>
      <c r="I939" s="295"/>
      <c r="J939" s="295"/>
      <c r="K939" s="296"/>
    </row>
    <row r="940" spans="2:11" ht="15" customHeight="1">
      <c r="B940" s="162" t="s">
        <v>1562</v>
      </c>
      <c r="C940" s="192" t="s">
        <v>30</v>
      </c>
      <c r="D940" s="294">
        <v>223</v>
      </c>
      <c r="E940" s="295"/>
      <c r="F940" s="295"/>
      <c r="G940" s="295"/>
      <c r="H940" s="295"/>
      <c r="I940" s="295"/>
      <c r="J940" s="295"/>
      <c r="K940" s="296"/>
    </row>
    <row r="941" spans="2:11" ht="15" customHeight="1">
      <c r="B941" s="162" t="s">
        <v>53</v>
      </c>
      <c r="C941" s="183" t="s">
        <v>30</v>
      </c>
      <c r="D941" s="294">
        <v>208</v>
      </c>
      <c r="E941" s="295"/>
      <c r="F941" s="295"/>
      <c r="G941" s="295"/>
      <c r="H941" s="295"/>
      <c r="I941" s="295"/>
      <c r="J941" s="295"/>
      <c r="K941" s="296"/>
    </row>
    <row r="942" spans="2:11" ht="15" customHeight="1">
      <c r="B942" s="162" t="s">
        <v>248</v>
      </c>
      <c r="C942" s="183" t="s">
        <v>30</v>
      </c>
      <c r="D942" s="294">
        <v>193</v>
      </c>
      <c r="E942" s="295"/>
      <c r="F942" s="295"/>
      <c r="G942" s="295"/>
      <c r="H942" s="295"/>
      <c r="I942" s="295"/>
      <c r="J942" s="295"/>
      <c r="K942" s="296"/>
    </row>
    <row r="943" spans="2:11" ht="15" customHeight="1">
      <c r="B943" s="162" t="s">
        <v>54</v>
      </c>
      <c r="C943" s="183" t="s">
        <v>30</v>
      </c>
      <c r="D943" s="294">
        <v>115</v>
      </c>
      <c r="E943" s="295"/>
      <c r="F943" s="295"/>
      <c r="G943" s="295"/>
      <c r="H943" s="295"/>
      <c r="I943" s="295"/>
      <c r="J943" s="295"/>
      <c r="K943" s="296"/>
    </row>
    <row r="944" spans="2:11" ht="15" customHeight="1">
      <c r="B944" s="162" t="s">
        <v>249</v>
      </c>
      <c r="C944" s="183" t="s">
        <v>30</v>
      </c>
      <c r="D944" s="294">
        <v>133</v>
      </c>
      <c r="E944" s="295"/>
      <c r="F944" s="295"/>
      <c r="G944" s="295"/>
      <c r="H944" s="295"/>
      <c r="I944" s="295"/>
      <c r="J944" s="295"/>
      <c r="K944" s="296"/>
    </row>
    <row r="945" spans="2:11" ht="15" customHeight="1">
      <c r="B945" s="162" t="s">
        <v>1563</v>
      </c>
      <c r="C945" s="177" t="s">
        <v>30</v>
      </c>
      <c r="D945" s="294">
        <v>208</v>
      </c>
      <c r="E945" s="295"/>
      <c r="F945" s="295"/>
      <c r="G945" s="295"/>
      <c r="H945" s="295"/>
      <c r="I945" s="295"/>
      <c r="J945" s="295"/>
      <c r="K945" s="296"/>
    </row>
    <row r="946" spans="2:11" ht="15" customHeight="1">
      <c r="B946" s="162" t="s">
        <v>250</v>
      </c>
      <c r="C946" s="183" t="s">
        <v>30</v>
      </c>
      <c r="D946" s="294">
        <v>210</v>
      </c>
      <c r="E946" s="295"/>
      <c r="F946" s="295"/>
      <c r="G946" s="295"/>
      <c r="H946" s="295"/>
      <c r="I946" s="295"/>
      <c r="J946" s="295"/>
      <c r="K946" s="296"/>
    </row>
    <row r="947" spans="2:11" ht="15" customHeight="1">
      <c r="B947" s="162" t="s">
        <v>1421</v>
      </c>
      <c r="C947" s="183" t="s">
        <v>30</v>
      </c>
      <c r="D947" s="294">
        <v>210</v>
      </c>
      <c r="E947" s="295"/>
      <c r="F947" s="295"/>
      <c r="G947" s="295"/>
      <c r="H947" s="295"/>
      <c r="I947" s="295"/>
      <c r="J947" s="295"/>
      <c r="K947" s="296"/>
    </row>
    <row r="948" spans="2:11" ht="15" customHeight="1">
      <c r="B948" s="162" t="s">
        <v>1564</v>
      </c>
      <c r="C948" s="177" t="s">
        <v>9</v>
      </c>
      <c r="D948" s="294">
        <v>246</v>
      </c>
      <c r="E948" s="295"/>
      <c r="F948" s="295"/>
      <c r="G948" s="295"/>
      <c r="H948" s="295"/>
      <c r="I948" s="295"/>
      <c r="J948" s="295"/>
      <c r="K948" s="296"/>
    </row>
    <row r="949" spans="2:11" ht="15" customHeight="1">
      <c r="B949" s="162" t="s">
        <v>1493</v>
      </c>
      <c r="C949" s="177" t="s">
        <v>0</v>
      </c>
      <c r="D949" s="294">
        <v>370</v>
      </c>
      <c r="E949" s="295"/>
      <c r="F949" s="295"/>
      <c r="G949" s="295"/>
      <c r="H949" s="295"/>
      <c r="I949" s="295"/>
      <c r="J949" s="295"/>
      <c r="K949" s="296"/>
    </row>
    <row r="950" spans="2:11" ht="15" customHeight="1">
      <c r="B950" s="162" t="s">
        <v>1494</v>
      </c>
      <c r="C950" s="177" t="s">
        <v>9</v>
      </c>
      <c r="D950" s="294">
        <v>89</v>
      </c>
      <c r="E950" s="295"/>
      <c r="F950" s="295"/>
      <c r="G950" s="295"/>
      <c r="H950" s="295"/>
      <c r="I950" s="295"/>
      <c r="J950" s="295"/>
      <c r="K950" s="296"/>
    </row>
    <row r="951" spans="2:11" ht="15" customHeight="1" thickBot="1">
      <c r="B951" s="163" t="s">
        <v>816</v>
      </c>
      <c r="C951" s="189" t="s">
        <v>0</v>
      </c>
      <c r="D951" s="369">
        <v>628</v>
      </c>
      <c r="E951" s="370"/>
      <c r="F951" s="370"/>
      <c r="G951" s="370"/>
      <c r="H951" s="370"/>
      <c r="I951" s="370"/>
      <c r="J951" s="370"/>
      <c r="K951" s="371"/>
    </row>
    <row r="952" spans="2:11" ht="13.5" customHeight="1" thickBot="1">
      <c r="B952" s="292" t="s">
        <v>771</v>
      </c>
      <c r="C952" s="288"/>
      <c r="D952" s="288"/>
      <c r="E952" s="288"/>
      <c r="F952" s="288"/>
      <c r="G952" s="288"/>
      <c r="H952" s="288"/>
      <c r="I952" s="288"/>
      <c r="J952" s="288"/>
      <c r="K952" s="293"/>
    </row>
    <row r="953" spans="2:11" ht="12.75">
      <c r="B953" s="47"/>
      <c r="C953" s="39"/>
      <c r="D953" s="83"/>
      <c r="E953" s="83"/>
      <c r="F953" s="83"/>
      <c r="G953" s="83"/>
      <c r="H953" s="83"/>
      <c r="I953" s="83"/>
      <c r="J953" s="83"/>
      <c r="K953" s="83"/>
    </row>
    <row r="954" spans="2:11" ht="12.75">
      <c r="B954" s="47"/>
      <c r="C954" s="39"/>
      <c r="D954" s="83"/>
      <c r="E954" s="83"/>
      <c r="F954" s="83"/>
      <c r="G954" s="83"/>
      <c r="H954" s="83"/>
      <c r="I954" s="83"/>
      <c r="J954" s="83"/>
      <c r="K954" s="83"/>
    </row>
    <row r="955" spans="2:11" ht="31.5" customHeight="1">
      <c r="B955" s="376" t="s">
        <v>1495</v>
      </c>
      <c r="C955" s="376"/>
      <c r="D955" s="83"/>
      <c r="E955" s="83"/>
      <c r="F955" s="83"/>
      <c r="G955" s="83"/>
      <c r="H955" s="83"/>
      <c r="I955" s="83"/>
      <c r="J955" s="83"/>
      <c r="K955" s="83"/>
    </row>
    <row r="956" spans="2:11" ht="15.75">
      <c r="B956" s="93"/>
      <c r="C956" s="39"/>
      <c r="D956" s="83"/>
      <c r="E956" s="83"/>
      <c r="F956" s="83"/>
      <c r="G956" s="83"/>
      <c r="H956" s="83"/>
      <c r="I956" s="83"/>
      <c r="J956" s="83"/>
      <c r="K956" s="83"/>
    </row>
    <row r="957" spans="2:11" ht="31.5" customHeight="1">
      <c r="B957" s="92" t="s">
        <v>1496</v>
      </c>
      <c r="C957" s="39"/>
      <c r="D957" s="83"/>
      <c r="E957" s="83"/>
      <c r="F957" s="83"/>
      <c r="G957" s="83"/>
      <c r="H957" s="83"/>
      <c r="I957" s="83"/>
      <c r="J957" s="83"/>
      <c r="K957" s="83"/>
    </row>
    <row r="958" spans="2:11" ht="15.75">
      <c r="B958" s="93"/>
      <c r="C958" s="39"/>
      <c r="D958" s="83"/>
      <c r="E958" s="83"/>
      <c r="F958" s="83"/>
      <c r="G958" s="83"/>
      <c r="H958" s="83"/>
      <c r="I958" s="83"/>
      <c r="J958" s="83"/>
      <c r="K958" s="83"/>
    </row>
    <row r="959" spans="2:11" ht="31.5" customHeight="1">
      <c r="B959" s="377" t="s">
        <v>1497</v>
      </c>
      <c r="C959" s="377"/>
      <c r="D959" s="377"/>
      <c r="E959" s="377"/>
      <c r="F959" s="83"/>
      <c r="G959" s="83"/>
      <c r="H959" s="83"/>
      <c r="I959" s="83"/>
      <c r="J959" s="83"/>
      <c r="K959" s="83"/>
    </row>
    <row r="960" spans="2:11" ht="12.75">
      <c r="B960"/>
      <c r="C960" s="39"/>
      <c r="D960" s="83"/>
      <c r="E960" s="83"/>
      <c r="F960" s="83"/>
      <c r="G960" s="83"/>
      <c r="H960" s="83"/>
      <c r="I960" s="83"/>
      <c r="J960" s="83"/>
      <c r="K960" s="83"/>
    </row>
    <row r="961" spans="2:11" ht="14.25">
      <c r="B961" s="91"/>
      <c r="C961" s="39"/>
      <c r="D961" s="83"/>
      <c r="E961" s="83"/>
      <c r="F961" s="83"/>
      <c r="G961" s="83"/>
      <c r="H961" s="83"/>
      <c r="I961" s="83"/>
      <c r="J961" s="83"/>
      <c r="K961" s="83"/>
    </row>
    <row r="962" spans="2:11" ht="12.75">
      <c r="B962" s="47"/>
      <c r="C962" s="39"/>
      <c r="D962" s="83"/>
      <c r="E962" s="83"/>
      <c r="F962" s="83"/>
      <c r="G962" s="83"/>
      <c r="H962" s="83"/>
      <c r="I962" s="83"/>
      <c r="J962" s="83"/>
      <c r="K962" s="83"/>
    </row>
    <row r="963" spans="2:11" ht="12.75">
      <c r="B963" s="47"/>
      <c r="C963" s="39"/>
      <c r="D963" s="83"/>
      <c r="E963" s="83"/>
      <c r="F963" s="83"/>
      <c r="G963" s="83"/>
      <c r="H963" s="83"/>
      <c r="I963" s="83"/>
      <c r="J963" s="83"/>
      <c r="K963" s="83"/>
    </row>
    <row r="964" spans="2:11" ht="12.75">
      <c r="B964" s="47"/>
      <c r="C964" s="39"/>
      <c r="D964" s="83"/>
      <c r="E964" s="83"/>
      <c r="F964" s="83"/>
      <c r="G964" s="83"/>
      <c r="H964" s="83"/>
      <c r="I964" s="83"/>
      <c r="J964" s="83"/>
      <c r="K964" s="83"/>
    </row>
    <row r="965" spans="2:11" ht="12.75">
      <c r="B965" s="47"/>
      <c r="C965" s="39"/>
      <c r="D965" s="83"/>
      <c r="E965" s="83"/>
      <c r="F965" s="83"/>
      <c r="G965" s="83"/>
      <c r="H965" s="83"/>
      <c r="I965" s="83"/>
      <c r="J965" s="83"/>
      <c r="K965" s="83"/>
    </row>
    <row r="966" spans="2:11" ht="12.75">
      <c r="B966" s="47"/>
      <c r="C966" s="39"/>
      <c r="D966" s="83"/>
      <c r="E966" s="83"/>
      <c r="F966" s="83"/>
      <c r="G966" s="83"/>
      <c r="H966" s="83"/>
      <c r="I966" s="83"/>
      <c r="J966" s="83"/>
      <c r="K966" s="83"/>
    </row>
    <row r="967" spans="2:11" ht="12.75">
      <c r="B967" s="47"/>
      <c r="C967" s="39"/>
      <c r="D967" s="83"/>
      <c r="E967" s="83"/>
      <c r="F967" s="83"/>
      <c r="G967" s="83"/>
      <c r="H967" s="83"/>
      <c r="I967" s="83"/>
      <c r="J967" s="83"/>
      <c r="K967" s="83"/>
    </row>
    <row r="968" spans="2:11" ht="12.75">
      <c r="B968" s="47"/>
      <c r="C968" s="39"/>
      <c r="D968" s="83"/>
      <c r="E968" s="83"/>
      <c r="F968" s="83"/>
      <c r="G968" s="83"/>
      <c r="H968" s="83"/>
      <c r="I968" s="83"/>
      <c r="J968" s="83"/>
      <c r="K968" s="83"/>
    </row>
    <row r="969" spans="2:11" ht="12.75">
      <c r="B969" s="47"/>
      <c r="C969" s="39"/>
      <c r="D969" s="83"/>
      <c r="E969" s="83"/>
      <c r="F969" s="83"/>
      <c r="G969" s="83"/>
      <c r="H969" s="83"/>
      <c r="I969" s="83"/>
      <c r="J969" s="83"/>
      <c r="K969" s="83"/>
    </row>
    <row r="970" spans="2:11" ht="12.75">
      <c r="B970" s="47"/>
      <c r="C970" s="39"/>
      <c r="D970" s="83"/>
      <c r="E970" s="83"/>
      <c r="F970" s="83"/>
      <c r="G970" s="83"/>
      <c r="H970" s="83"/>
      <c r="I970" s="83"/>
      <c r="J970" s="83"/>
      <c r="K970" s="83"/>
    </row>
    <row r="971" spans="2:11" ht="12.75">
      <c r="B971" s="47"/>
      <c r="C971" s="39"/>
      <c r="D971" s="83"/>
      <c r="E971" s="83"/>
      <c r="F971" s="83"/>
      <c r="G971" s="83"/>
      <c r="H971" s="83"/>
      <c r="I971" s="83"/>
      <c r="J971" s="83"/>
      <c r="K971" s="83"/>
    </row>
    <row r="972" spans="2:11" ht="12.75">
      <c r="B972" s="47"/>
      <c r="C972" s="39"/>
      <c r="D972" s="83"/>
      <c r="E972" s="83"/>
      <c r="F972" s="83"/>
      <c r="G972" s="83"/>
      <c r="H972" s="83"/>
      <c r="I972" s="83"/>
      <c r="J972" s="83"/>
      <c r="K972" s="83"/>
    </row>
    <row r="973" spans="2:11" ht="12.75">
      <c r="B973" s="47"/>
      <c r="C973" s="39"/>
      <c r="D973" s="83"/>
      <c r="E973" s="83"/>
      <c r="F973" s="83"/>
      <c r="G973" s="83"/>
      <c r="H973" s="83"/>
      <c r="I973" s="83"/>
      <c r="J973" s="83"/>
      <c r="K973" s="83"/>
    </row>
    <row r="974" spans="2:11" ht="12.75">
      <c r="B974" s="47"/>
      <c r="C974" s="39"/>
      <c r="D974" s="83"/>
      <c r="E974" s="83"/>
      <c r="F974" s="83"/>
      <c r="G974" s="83"/>
      <c r="H974" s="83"/>
      <c r="I974" s="83"/>
      <c r="J974" s="83"/>
      <c r="K974" s="83"/>
    </row>
    <row r="975" spans="2:11" ht="12.75">
      <c r="B975" s="47"/>
      <c r="C975" s="39"/>
      <c r="D975" s="83"/>
      <c r="E975" s="83"/>
      <c r="F975" s="83"/>
      <c r="G975" s="83"/>
      <c r="H975" s="83"/>
      <c r="I975" s="83"/>
      <c r="J975" s="83"/>
      <c r="K975" s="83"/>
    </row>
    <row r="976" spans="2:11" ht="12.75">
      <c r="B976" s="47"/>
      <c r="C976" s="39"/>
      <c r="D976" s="83"/>
      <c r="E976" s="83"/>
      <c r="F976" s="83"/>
      <c r="G976" s="83"/>
      <c r="H976" s="83"/>
      <c r="I976" s="83"/>
      <c r="J976" s="83"/>
      <c r="K976" s="83"/>
    </row>
    <row r="977" spans="2:11" ht="12.75">
      <c r="B977" s="47"/>
      <c r="C977" s="39"/>
      <c r="D977" s="83"/>
      <c r="E977" s="83"/>
      <c r="F977" s="83"/>
      <c r="G977" s="83"/>
      <c r="H977" s="83"/>
      <c r="I977" s="83"/>
      <c r="J977" s="83"/>
      <c r="K977" s="83"/>
    </row>
    <row r="978" spans="2:11" ht="12.75">
      <c r="B978" s="47"/>
      <c r="C978" s="39"/>
      <c r="D978" s="83"/>
      <c r="E978" s="83"/>
      <c r="F978" s="83"/>
      <c r="G978" s="83"/>
      <c r="H978" s="83"/>
      <c r="I978" s="83"/>
      <c r="J978" s="83"/>
      <c r="K978" s="83"/>
    </row>
    <row r="979" spans="2:11" ht="12.75">
      <c r="B979" s="47"/>
      <c r="C979" s="39"/>
      <c r="D979" s="83"/>
      <c r="E979" s="83"/>
      <c r="F979" s="83"/>
      <c r="G979" s="83"/>
      <c r="H979" s="83"/>
      <c r="I979" s="83"/>
      <c r="J979" s="83"/>
      <c r="K979" s="83"/>
    </row>
    <row r="980" spans="2:11" ht="12.75">
      <c r="B980" s="47"/>
      <c r="C980" s="39"/>
      <c r="D980" s="83"/>
      <c r="E980" s="83"/>
      <c r="F980" s="83"/>
      <c r="G980" s="83"/>
      <c r="H980" s="83"/>
      <c r="I980" s="83"/>
      <c r="J980" s="83"/>
      <c r="K980" s="83"/>
    </row>
    <row r="981" spans="2:11" ht="12.75">
      <c r="B981" s="47"/>
      <c r="C981" s="39"/>
      <c r="D981" s="83"/>
      <c r="E981" s="83"/>
      <c r="F981" s="83"/>
      <c r="G981" s="83"/>
      <c r="H981" s="83"/>
      <c r="I981" s="83"/>
      <c r="J981" s="83"/>
      <c r="K981" s="83"/>
    </row>
    <row r="982" spans="2:11" ht="12.75">
      <c r="B982" s="47"/>
      <c r="C982" s="39"/>
      <c r="D982" s="83"/>
      <c r="E982" s="83"/>
      <c r="F982" s="83"/>
      <c r="G982" s="83"/>
      <c r="H982" s="83"/>
      <c r="I982" s="83"/>
      <c r="J982" s="83"/>
      <c r="K982" s="83"/>
    </row>
    <row r="983" spans="2:11" ht="12.75">
      <c r="B983" s="47"/>
      <c r="C983" s="39"/>
      <c r="D983" s="83"/>
      <c r="E983" s="83"/>
      <c r="F983" s="83"/>
      <c r="G983" s="83"/>
      <c r="H983" s="83"/>
      <c r="I983" s="83"/>
      <c r="J983" s="83"/>
      <c r="K983" s="83"/>
    </row>
    <row r="984" spans="2:11" ht="12.75">
      <c r="B984" s="47"/>
      <c r="C984" s="39"/>
      <c r="D984" s="83"/>
      <c r="E984" s="83"/>
      <c r="F984" s="83"/>
      <c r="G984" s="83"/>
      <c r="H984" s="83"/>
      <c r="I984" s="83"/>
      <c r="J984" s="83"/>
      <c r="K984" s="83"/>
    </row>
    <row r="985" spans="2:11" ht="12.75">
      <c r="B985" s="47"/>
      <c r="C985" s="39"/>
      <c r="D985" s="83"/>
      <c r="E985" s="83"/>
      <c r="F985" s="83"/>
      <c r="G985" s="83"/>
      <c r="H985" s="83"/>
      <c r="I985" s="83"/>
      <c r="J985" s="83"/>
      <c r="K985" s="83"/>
    </row>
    <row r="986" spans="2:11" ht="12.75">
      <c r="B986" s="47"/>
      <c r="C986" s="39"/>
      <c r="D986" s="83"/>
      <c r="E986" s="83"/>
      <c r="F986" s="83"/>
      <c r="G986" s="83"/>
      <c r="H986" s="83"/>
      <c r="I986" s="83"/>
      <c r="J986" s="83"/>
      <c r="K986" s="83"/>
    </row>
    <row r="987" spans="2:11" ht="12.75">
      <c r="B987" s="47"/>
      <c r="C987" s="39"/>
      <c r="D987" s="83"/>
      <c r="E987" s="83"/>
      <c r="F987" s="83"/>
      <c r="G987" s="83"/>
      <c r="H987" s="83"/>
      <c r="I987" s="83"/>
      <c r="J987" s="83"/>
      <c r="K987" s="83"/>
    </row>
    <row r="988" spans="2:11" ht="12.75">
      <c r="B988" s="47"/>
      <c r="C988" s="39"/>
      <c r="D988" s="83"/>
      <c r="E988" s="83"/>
      <c r="F988" s="83"/>
      <c r="G988" s="83"/>
      <c r="H988" s="83"/>
      <c r="I988" s="83"/>
      <c r="J988" s="83"/>
      <c r="K988" s="83"/>
    </row>
    <row r="989" spans="2:11" ht="12.75">
      <c r="B989" s="47"/>
      <c r="C989" s="39"/>
      <c r="D989" s="83"/>
      <c r="E989" s="83"/>
      <c r="F989" s="83"/>
      <c r="G989" s="83"/>
      <c r="H989" s="83"/>
      <c r="I989" s="83"/>
      <c r="J989" s="83"/>
      <c r="K989" s="83"/>
    </row>
    <row r="990" spans="2:11" ht="12.75">
      <c r="B990" s="47"/>
      <c r="C990" s="39"/>
      <c r="D990" s="83"/>
      <c r="E990" s="83"/>
      <c r="F990" s="83"/>
      <c r="G990" s="83"/>
      <c r="H990" s="83"/>
      <c r="I990" s="83"/>
      <c r="J990" s="83"/>
      <c r="K990" s="83"/>
    </row>
    <row r="991" spans="2:11" ht="12.75">
      <c r="B991" s="47"/>
      <c r="C991" s="39"/>
      <c r="D991" s="83"/>
      <c r="E991" s="83"/>
      <c r="F991" s="83"/>
      <c r="G991" s="83"/>
      <c r="H991" s="83"/>
      <c r="I991" s="83"/>
      <c r="J991" s="83"/>
      <c r="K991" s="83"/>
    </row>
    <row r="992" spans="2:11" ht="12.75">
      <c r="B992" s="47"/>
      <c r="C992" s="39"/>
      <c r="D992" s="83"/>
      <c r="E992" s="83"/>
      <c r="F992" s="83"/>
      <c r="G992" s="83"/>
      <c r="H992" s="83"/>
      <c r="I992" s="83"/>
      <c r="J992" s="83"/>
      <c r="K992" s="83"/>
    </row>
    <row r="993" spans="2:11" ht="12.75">
      <c r="B993" s="47"/>
      <c r="C993" s="39"/>
      <c r="D993" s="83"/>
      <c r="E993" s="83"/>
      <c r="F993" s="83"/>
      <c r="G993" s="83"/>
      <c r="H993" s="83"/>
      <c r="I993" s="83"/>
      <c r="J993" s="83"/>
      <c r="K993" s="83"/>
    </row>
    <row r="994" spans="2:11" ht="12.75">
      <c r="B994" s="47"/>
      <c r="C994" s="39"/>
      <c r="D994" s="83"/>
      <c r="E994" s="83"/>
      <c r="F994" s="83"/>
      <c r="G994" s="83"/>
      <c r="H994" s="83"/>
      <c r="I994" s="83"/>
      <c r="J994" s="83"/>
      <c r="K994" s="83"/>
    </row>
    <row r="995" spans="2:11" ht="12.75">
      <c r="B995" s="47"/>
      <c r="C995" s="39"/>
      <c r="D995" s="83"/>
      <c r="E995" s="83"/>
      <c r="F995" s="83"/>
      <c r="G995" s="83"/>
      <c r="H995" s="83"/>
      <c r="I995" s="83"/>
      <c r="J995" s="83"/>
      <c r="K995" s="83"/>
    </row>
    <row r="996" spans="2:11" ht="12.75">
      <c r="B996" s="47"/>
      <c r="C996" s="39"/>
      <c r="D996" s="83"/>
      <c r="E996" s="83"/>
      <c r="F996" s="83"/>
      <c r="G996" s="83"/>
      <c r="H996" s="83"/>
      <c r="I996" s="83"/>
      <c r="J996" s="83"/>
      <c r="K996" s="83"/>
    </row>
    <row r="997" spans="2:11" ht="12.75">
      <c r="B997" s="47"/>
      <c r="C997" s="39"/>
      <c r="D997" s="83"/>
      <c r="E997" s="83"/>
      <c r="F997" s="83"/>
      <c r="G997" s="83"/>
      <c r="H997" s="83"/>
      <c r="I997" s="83"/>
      <c r="J997" s="83"/>
      <c r="K997" s="83"/>
    </row>
    <row r="998" spans="2:11" ht="12.75">
      <c r="B998" s="47"/>
      <c r="C998" s="77"/>
      <c r="D998" s="77"/>
      <c r="E998" s="77"/>
      <c r="F998" s="77"/>
      <c r="G998" s="77"/>
      <c r="H998" s="77"/>
      <c r="I998" s="77"/>
      <c r="J998" s="77"/>
      <c r="K998" s="77"/>
    </row>
    <row r="999" spans="2:11" ht="12.75">
      <c r="B999" s="47"/>
      <c r="C999" s="77"/>
      <c r="D999" s="77"/>
      <c r="E999" s="77"/>
      <c r="F999" s="77"/>
      <c r="G999" s="77"/>
      <c r="H999" s="77"/>
      <c r="I999" s="77"/>
      <c r="J999" s="77"/>
      <c r="K999" s="77"/>
    </row>
    <row r="1000" spans="2:11" ht="12.75">
      <c r="B1000" s="47"/>
      <c r="C1000" s="77"/>
      <c r="D1000" s="77"/>
      <c r="E1000" s="77"/>
      <c r="F1000" s="77"/>
      <c r="G1000" s="77"/>
      <c r="H1000" s="77"/>
      <c r="I1000" s="77"/>
      <c r="J1000" s="77"/>
      <c r="K1000" s="77"/>
    </row>
    <row r="1001" spans="2:11" ht="12.75">
      <c r="B1001" s="47"/>
      <c r="C1001" s="77"/>
      <c r="D1001" s="77"/>
      <c r="E1001" s="77"/>
      <c r="F1001" s="77"/>
      <c r="G1001" s="77"/>
      <c r="H1001" s="77"/>
      <c r="I1001" s="77"/>
      <c r="J1001" s="77"/>
      <c r="K1001" s="77"/>
    </row>
    <row r="1002" spans="2:11" ht="12.75">
      <c r="B1002" s="47"/>
      <c r="C1002" s="77"/>
      <c r="D1002" s="77"/>
      <c r="E1002" s="77"/>
      <c r="F1002" s="77"/>
      <c r="G1002" s="77"/>
      <c r="H1002" s="77"/>
      <c r="I1002" s="77"/>
      <c r="J1002" s="77"/>
      <c r="K1002" s="77"/>
    </row>
    <row r="1003" ht="12.75">
      <c r="B1003" s="47"/>
    </row>
    <row r="1004" ht="12.75">
      <c r="B1004" s="47"/>
    </row>
    <row r="1005" ht="12.75">
      <c r="B1005" s="47"/>
    </row>
    <row r="1006" ht="12.75">
      <c r="B1006" s="47"/>
    </row>
    <row r="1007" ht="12.75">
      <c r="B1007" s="47"/>
    </row>
    <row r="1008" ht="12.75">
      <c r="B1008" s="47"/>
    </row>
    <row r="1009" ht="12.75">
      <c r="B1009" s="47"/>
    </row>
    <row r="1010" ht="12.75">
      <c r="B1010" s="47"/>
    </row>
    <row r="1011" ht="12.75">
      <c r="B1011" s="47"/>
    </row>
    <row r="1012" ht="12.75">
      <c r="B1012" s="47"/>
    </row>
    <row r="1013" ht="12.75">
      <c r="B1013" s="47"/>
    </row>
    <row r="1014" ht="12.75">
      <c r="B1014" s="47"/>
    </row>
    <row r="1015" ht="12.75">
      <c r="B1015" s="47"/>
    </row>
    <row r="1016" ht="12.75">
      <c r="B1016" s="47"/>
    </row>
    <row r="1017" ht="12.75">
      <c r="B1017" s="47"/>
    </row>
    <row r="1018" ht="12.75">
      <c r="B1018" s="47"/>
    </row>
    <row r="1019" ht="12.75">
      <c r="B1019" s="47"/>
    </row>
    <row r="1020" ht="12.75">
      <c r="B1020" s="47"/>
    </row>
    <row r="1021" ht="12.75">
      <c r="B1021" s="47"/>
    </row>
    <row r="1022" ht="12.75">
      <c r="B1022" s="85"/>
    </row>
    <row r="1023" ht="12.75">
      <c r="B1023" s="85"/>
    </row>
    <row r="1024" ht="12.75">
      <c r="B1024" s="85"/>
    </row>
    <row r="1025" ht="12.75">
      <c r="B1025" s="85"/>
    </row>
    <row r="1026" ht="12.75">
      <c r="B1026" s="85"/>
    </row>
  </sheetData>
  <sheetProtection sheet="1" objects="1"/>
  <mergeCells count="379">
    <mergeCell ref="B955:C955"/>
    <mergeCell ref="B959:E959"/>
    <mergeCell ref="B646:K646"/>
    <mergeCell ref="B85:K85"/>
    <mergeCell ref="C15:C16"/>
    <mergeCell ref="B15:B16"/>
    <mergeCell ref="D15:G15"/>
    <mergeCell ref="H15:K15"/>
    <mergeCell ref="H38:K38"/>
    <mergeCell ref="D38:G38"/>
    <mergeCell ref="B9:K9"/>
    <mergeCell ref="B10:K10"/>
    <mergeCell ref="D936:K936"/>
    <mergeCell ref="D937:K937"/>
    <mergeCell ref="D935:K935"/>
    <mergeCell ref="B905:K905"/>
    <mergeCell ref="B910:K910"/>
    <mergeCell ref="B918:K918"/>
    <mergeCell ref="D919:K919"/>
    <mergeCell ref="D951:K951"/>
    <mergeCell ref="D926:K926"/>
    <mergeCell ref="D929:K929"/>
    <mergeCell ref="D933:K933"/>
    <mergeCell ref="C38:C39"/>
    <mergeCell ref="B38:B39"/>
    <mergeCell ref="D61:G61"/>
    <mergeCell ref="C61:C62"/>
    <mergeCell ref="B61:B62"/>
    <mergeCell ref="H61:K61"/>
    <mergeCell ref="D938:K938"/>
    <mergeCell ref="D947:K947"/>
    <mergeCell ref="D927:K927"/>
    <mergeCell ref="D941:K941"/>
    <mergeCell ref="D942:K942"/>
    <mergeCell ref="D943:K943"/>
    <mergeCell ref="H87:K87"/>
    <mergeCell ref="D87:G87"/>
    <mergeCell ref="C87:C88"/>
    <mergeCell ref="B87:B88"/>
    <mergeCell ref="H99:K99"/>
    <mergeCell ref="D99:G99"/>
    <mergeCell ref="C99:C100"/>
    <mergeCell ref="B99:B100"/>
    <mergeCell ref="D920:K920"/>
    <mergeCell ref="D921:K921"/>
    <mergeCell ref="D922:K922"/>
    <mergeCell ref="B797:K797"/>
    <mergeCell ref="B806:K806"/>
    <mergeCell ref="B824:K824"/>
    <mergeCell ref="B833:K833"/>
    <mergeCell ref="B815:K815"/>
    <mergeCell ref="B852:B853"/>
    <mergeCell ref="B904:K904"/>
    <mergeCell ref="D111:G111"/>
    <mergeCell ref="C111:C112"/>
    <mergeCell ref="B111:B112"/>
    <mergeCell ref="H123:K123"/>
    <mergeCell ref="D123:G123"/>
    <mergeCell ref="C123:C124"/>
    <mergeCell ref="B122:K122"/>
    <mergeCell ref="H111:K111"/>
    <mergeCell ref="B788:K788"/>
    <mergeCell ref="B651:K651"/>
    <mergeCell ref="B123:B124"/>
    <mergeCell ref="D135:G135"/>
    <mergeCell ref="C135:C136"/>
    <mergeCell ref="B135:B136"/>
    <mergeCell ref="H135:K135"/>
    <mergeCell ref="B150:B151"/>
    <mergeCell ref="B569:K569"/>
    <mergeCell ref="B580:K580"/>
    <mergeCell ref="B602:K602"/>
    <mergeCell ref="B613:K613"/>
    <mergeCell ref="B624:K624"/>
    <mergeCell ref="B635:K635"/>
    <mergeCell ref="H570:K570"/>
    <mergeCell ref="D570:G570"/>
    <mergeCell ref="C570:C571"/>
    <mergeCell ref="B570:B571"/>
    <mergeCell ref="B434:K434"/>
    <mergeCell ref="B478:K478"/>
    <mergeCell ref="B512:K512"/>
    <mergeCell ref="B538:K538"/>
    <mergeCell ref="B547:K547"/>
    <mergeCell ref="B558:K558"/>
    <mergeCell ref="H435:K435"/>
    <mergeCell ref="D435:G435"/>
    <mergeCell ref="C435:C436"/>
    <mergeCell ref="B435:B436"/>
    <mergeCell ref="H150:K150"/>
    <mergeCell ref="D150:G150"/>
    <mergeCell ref="C150:C151"/>
    <mergeCell ref="H160:K160"/>
    <mergeCell ref="D160:G160"/>
    <mergeCell ref="C160:C161"/>
    <mergeCell ref="B160:B161"/>
    <mergeCell ref="H172:K172"/>
    <mergeCell ref="D172:G172"/>
    <mergeCell ref="C172:C173"/>
    <mergeCell ref="B172:B173"/>
    <mergeCell ref="D187:G187"/>
    <mergeCell ref="C187:C188"/>
    <mergeCell ref="B187:B188"/>
    <mergeCell ref="H187:K187"/>
    <mergeCell ref="D232:G232"/>
    <mergeCell ref="B222:B223"/>
    <mergeCell ref="B198:B199"/>
    <mergeCell ref="D198:G198"/>
    <mergeCell ref="C198:C199"/>
    <mergeCell ref="H198:K198"/>
    <mergeCell ref="H209:K209"/>
    <mergeCell ref="D209:G209"/>
    <mergeCell ref="C209:C210"/>
    <mergeCell ref="B209:B210"/>
    <mergeCell ref="C256:C257"/>
    <mergeCell ref="B256:B257"/>
    <mergeCell ref="H256:K256"/>
    <mergeCell ref="H268:K268"/>
    <mergeCell ref="C222:C223"/>
    <mergeCell ref="H222:K222"/>
    <mergeCell ref="D222:G222"/>
    <mergeCell ref="B232:B233"/>
    <mergeCell ref="C232:C233"/>
    <mergeCell ref="H232:K232"/>
    <mergeCell ref="H275:K275"/>
    <mergeCell ref="D275:G275"/>
    <mergeCell ref="C275:C276"/>
    <mergeCell ref="B275:B276"/>
    <mergeCell ref="B767:K767"/>
    <mergeCell ref="H245:K245"/>
    <mergeCell ref="D245:G245"/>
    <mergeCell ref="C245:C246"/>
    <mergeCell ref="B245:B246"/>
    <mergeCell ref="D256:G256"/>
    <mergeCell ref="D295:G295"/>
    <mergeCell ref="B306:K306"/>
    <mergeCell ref="B433:K433"/>
    <mergeCell ref="H283:K283"/>
    <mergeCell ref="H307:K307"/>
    <mergeCell ref="D307:G307"/>
    <mergeCell ref="C307:C308"/>
    <mergeCell ref="B307:B308"/>
    <mergeCell ref="B313:K313"/>
    <mergeCell ref="H295:K295"/>
    <mergeCell ref="B255:K255"/>
    <mergeCell ref="B267:K267"/>
    <mergeCell ref="B282:K282"/>
    <mergeCell ref="B294:K294"/>
    <mergeCell ref="D283:G283"/>
    <mergeCell ref="C283:C284"/>
    <mergeCell ref="B283:B284"/>
    <mergeCell ref="D268:G268"/>
    <mergeCell ref="C268:C269"/>
    <mergeCell ref="B268:B269"/>
    <mergeCell ref="B197:K197"/>
    <mergeCell ref="B171:K171"/>
    <mergeCell ref="B186:K186"/>
    <mergeCell ref="H314:K314"/>
    <mergeCell ref="D314:G314"/>
    <mergeCell ref="C314:C315"/>
    <mergeCell ref="B314:B315"/>
    <mergeCell ref="B274:K274"/>
    <mergeCell ref="B231:K231"/>
    <mergeCell ref="B244:K244"/>
    <mergeCell ref="H347:K347"/>
    <mergeCell ref="B347:B348"/>
    <mergeCell ref="D347:G347"/>
    <mergeCell ref="C347:C348"/>
    <mergeCell ref="D321:G321"/>
    <mergeCell ref="C321:C322"/>
    <mergeCell ref="B321:B322"/>
    <mergeCell ref="H321:K321"/>
    <mergeCell ref="H328:K328"/>
    <mergeCell ref="D328:G328"/>
    <mergeCell ref="B221:K221"/>
    <mergeCell ref="B208:K208"/>
    <mergeCell ref="H340:K340"/>
    <mergeCell ref="D340:G340"/>
    <mergeCell ref="C340:C341"/>
    <mergeCell ref="B340:B341"/>
    <mergeCell ref="C328:C329"/>
    <mergeCell ref="B328:B329"/>
    <mergeCell ref="C295:C296"/>
    <mergeCell ref="B295:B296"/>
    <mergeCell ref="B370:B371"/>
    <mergeCell ref="C370:C371"/>
    <mergeCell ref="D370:G370"/>
    <mergeCell ref="H370:K370"/>
    <mergeCell ref="H381:K381"/>
    <mergeCell ref="B358:B359"/>
    <mergeCell ref="H358:K358"/>
    <mergeCell ref="D358:G358"/>
    <mergeCell ref="C358:C359"/>
    <mergeCell ref="C398:C399"/>
    <mergeCell ref="B398:B399"/>
    <mergeCell ref="B381:B382"/>
    <mergeCell ref="C381:C382"/>
    <mergeCell ref="D381:G381"/>
    <mergeCell ref="H386:K386"/>
    <mergeCell ref="D386:G386"/>
    <mergeCell ref="C386:C387"/>
    <mergeCell ref="B386:B387"/>
    <mergeCell ref="B410:B411"/>
    <mergeCell ref="H422:K422"/>
    <mergeCell ref="D422:G422"/>
    <mergeCell ref="C422:C423"/>
    <mergeCell ref="B422:B423"/>
    <mergeCell ref="B134:K134"/>
    <mergeCell ref="B149:K149"/>
    <mergeCell ref="B159:K159"/>
    <mergeCell ref="H398:K398"/>
    <mergeCell ref="D398:G398"/>
    <mergeCell ref="B86:K86"/>
    <mergeCell ref="B110:K110"/>
    <mergeCell ref="B98:K98"/>
    <mergeCell ref="H479:K479"/>
    <mergeCell ref="D479:G479"/>
    <mergeCell ref="C479:C480"/>
    <mergeCell ref="B479:B480"/>
    <mergeCell ref="H410:K410"/>
    <mergeCell ref="D410:G410"/>
    <mergeCell ref="C410:C411"/>
    <mergeCell ref="C513:C514"/>
    <mergeCell ref="B513:B514"/>
    <mergeCell ref="H539:K539"/>
    <mergeCell ref="D539:G539"/>
    <mergeCell ref="C539:C540"/>
    <mergeCell ref="B539:B540"/>
    <mergeCell ref="B13:K13"/>
    <mergeCell ref="B11:K11"/>
    <mergeCell ref="H548:K548"/>
    <mergeCell ref="D548:G548"/>
    <mergeCell ref="C548:C549"/>
    <mergeCell ref="B548:B549"/>
    <mergeCell ref="B369:K369"/>
    <mergeCell ref="B60:K60"/>
    <mergeCell ref="H513:K513"/>
    <mergeCell ref="D513:G513"/>
    <mergeCell ref="A15:A16"/>
    <mergeCell ref="B14:K14"/>
    <mergeCell ref="B37:K37"/>
    <mergeCell ref="H559:K559"/>
    <mergeCell ref="D559:G559"/>
    <mergeCell ref="C559:C560"/>
    <mergeCell ref="B559:B560"/>
    <mergeCell ref="B320:K320"/>
    <mergeCell ref="B385:K385"/>
    <mergeCell ref="B357:K357"/>
    <mergeCell ref="H581:K581"/>
    <mergeCell ref="D581:G581"/>
    <mergeCell ref="C581:C582"/>
    <mergeCell ref="B581:B582"/>
    <mergeCell ref="H592:K592"/>
    <mergeCell ref="D592:G592"/>
    <mergeCell ref="C592:C593"/>
    <mergeCell ref="B592:B593"/>
    <mergeCell ref="B591:K591"/>
    <mergeCell ref="H603:K603"/>
    <mergeCell ref="B842:K842"/>
    <mergeCell ref="D603:G603"/>
    <mergeCell ref="C603:C604"/>
    <mergeCell ref="B603:B604"/>
    <mergeCell ref="H614:K614"/>
    <mergeCell ref="D614:G614"/>
    <mergeCell ref="C614:C615"/>
    <mergeCell ref="B614:B615"/>
    <mergeCell ref="C625:C626"/>
    <mergeCell ref="D625:G625"/>
    <mergeCell ref="H636:K636"/>
    <mergeCell ref="D636:G636"/>
    <mergeCell ref="C636:C637"/>
    <mergeCell ref="B636:B637"/>
    <mergeCell ref="B632:B633"/>
    <mergeCell ref="C632:C633"/>
    <mergeCell ref="D632:G632"/>
    <mergeCell ref="D907:K907"/>
    <mergeCell ref="D909:K909"/>
    <mergeCell ref="H852:K852"/>
    <mergeCell ref="D852:G852"/>
    <mergeCell ref="C852:C853"/>
    <mergeCell ref="B873:K873"/>
    <mergeCell ref="B652:B653"/>
    <mergeCell ref="H769:K769"/>
    <mergeCell ref="D769:G769"/>
    <mergeCell ref="C769:C770"/>
    <mergeCell ref="B769:B770"/>
    <mergeCell ref="H780:K780"/>
    <mergeCell ref="B768:K768"/>
    <mergeCell ref="B779:K779"/>
    <mergeCell ref="D816:G816"/>
    <mergeCell ref="H834:K834"/>
    <mergeCell ref="D912:K912"/>
    <mergeCell ref="H652:K652"/>
    <mergeCell ref="D652:G652"/>
    <mergeCell ref="C652:C653"/>
    <mergeCell ref="B851:K851"/>
    <mergeCell ref="D911:K911"/>
    <mergeCell ref="B864:K864"/>
    <mergeCell ref="D906:K906"/>
    <mergeCell ref="B625:B626"/>
    <mergeCell ref="H625:K625"/>
    <mergeCell ref="D946:K946"/>
    <mergeCell ref="D913:K913"/>
    <mergeCell ref="D914:K914"/>
    <mergeCell ref="D915:K915"/>
    <mergeCell ref="D916:K916"/>
    <mergeCell ref="D780:G780"/>
    <mergeCell ref="H798:K798"/>
    <mergeCell ref="D798:G798"/>
    <mergeCell ref="B346:K346"/>
    <mergeCell ref="B397:K397"/>
    <mergeCell ref="C780:C781"/>
    <mergeCell ref="B780:B781"/>
    <mergeCell ref="H789:K789"/>
    <mergeCell ref="B511:K511"/>
    <mergeCell ref="D789:G789"/>
    <mergeCell ref="C789:C790"/>
    <mergeCell ref="B789:B790"/>
    <mergeCell ref="H632:K632"/>
    <mergeCell ref="C825:C826"/>
    <mergeCell ref="B825:B826"/>
    <mergeCell ref="C798:C799"/>
    <mergeCell ref="B798:B799"/>
    <mergeCell ref="B327:K327"/>
    <mergeCell ref="B339:K339"/>
    <mergeCell ref="D807:G807"/>
    <mergeCell ref="C807:C808"/>
    <mergeCell ref="B807:B808"/>
    <mergeCell ref="H807:K807"/>
    <mergeCell ref="C834:C835"/>
    <mergeCell ref="B834:B835"/>
    <mergeCell ref="B843:B844"/>
    <mergeCell ref="H843:K843"/>
    <mergeCell ref="D843:G843"/>
    <mergeCell ref="C816:C817"/>
    <mergeCell ref="H816:K816"/>
    <mergeCell ref="B816:B817"/>
    <mergeCell ref="H825:K825"/>
    <mergeCell ref="D825:G825"/>
    <mergeCell ref="D865:G865"/>
    <mergeCell ref="B421:K421"/>
    <mergeCell ref="B409:K409"/>
    <mergeCell ref="C843:C844"/>
    <mergeCell ref="B631:K631"/>
    <mergeCell ref="H874:K874"/>
    <mergeCell ref="D874:G874"/>
    <mergeCell ref="C874:C875"/>
    <mergeCell ref="B874:B875"/>
    <mergeCell ref="D834:G834"/>
    <mergeCell ref="B266:K266"/>
    <mergeCell ref="D908:K908"/>
    <mergeCell ref="B766:K766"/>
    <mergeCell ref="B765:K765"/>
    <mergeCell ref="B477:K477"/>
    <mergeCell ref="B476:K476"/>
    <mergeCell ref="B380:K380"/>
    <mergeCell ref="C865:C866"/>
    <mergeCell ref="B865:B866"/>
    <mergeCell ref="H865:K865"/>
    <mergeCell ref="D931:K931"/>
    <mergeCell ref="D930:K930"/>
    <mergeCell ref="D924:K924"/>
    <mergeCell ref="D928:K928"/>
    <mergeCell ref="D949:K949"/>
    <mergeCell ref="D950:K950"/>
    <mergeCell ref="D944:K944"/>
    <mergeCell ref="D948:K948"/>
    <mergeCell ref="D934:K934"/>
    <mergeCell ref="D925:K925"/>
    <mergeCell ref="B7:K7"/>
    <mergeCell ref="D917:K917"/>
    <mergeCell ref="B305:K305"/>
    <mergeCell ref="B254:K254"/>
    <mergeCell ref="B952:K952"/>
    <mergeCell ref="D923:K923"/>
    <mergeCell ref="D945:K945"/>
    <mergeCell ref="D940:K940"/>
    <mergeCell ref="D939:K939"/>
    <mergeCell ref="D932:K932"/>
  </mergeCells>
  <printOptions/>
  <pageMargins left="0.2362204724409449" right="0.2362204724409449" top="0.2362204724409449" bottom="0.2362204724409449" header="0.31496062992125984" footer="0.31496062992125984"/>
  <pageSetup fitToHeight="0" fitToWidth="1" horizontalDpi="300" verticalDpi="3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9"/>
  <sheetViews>
    <sheetView showGridLines="0" view="pageBreakPreview" zoomScale="115" zoomScaleSheetLayoutView="115" zoomScalePageLayoutView="0" workbookViewId="0" topLeftCell="A1">
      <selection activeCell="H4" sqref="H4"/>
    </sheetView>
  </sheetViews>
  <sheetFormatPr defaultColWidth="9.140625" defaultRowHeight="12.75"/>
  <cols>
    <col min="1" max="2" width="20.00390625" style="0" customWidth="1"/>
    <col min="3" max="3" width="11.8515625" style="0" customWidth="1"/>
    <col min="4" max="4" width="18.140625" style="0" customWidth="1"/>
    <col min="5" max="8" width="17.8515625" style="0" customWidth="1"/>
    <col min="9" max="9" width="16.00390625" style="0" customWidth="1"/>
  </cols>
  <sheetData>
    <row r="1" spans="5:9" ht="12.75">
      <c r="E1" s="65">
        <f>'Фасады, декоративные элементы'!C1</f>
        <v>0</v>
      </c>
      <c r="G1" s="1"/>
      <c r="H1" s="2"/>
      <c r="I1" s="2"/>
    </row>
    <row r="2" spans="5:9" ht="12.75">
      <c r="E2" s="65">
        <f>'Фасады, декоративные элементы'!C2</f>
        <v>0</v>
      </c>
      <c r="G2" s="1"/>
      <c r="H2" s="2"/>
      <c r="I2" s="2"/>
    </row>
    <row r="3" spans="5:9" ht="12.75">
      <c r="E3" s="65">
        <f>'Фасады, декоративные элементы'!C3</f>
        <v>0</v>
      </c>
      <c r="G3" s="1"/>
      <c r="H3" s="2"/>
      <c r="I3" s="2"/>
    </row>
    <row r="4" spans="5:9" ht="12.75">
      <c r="E4" s="65">
        <f>'Фасады, декоративные элементы'!C4</f>
        <v>0</v>
      </c>
      <c r="G4" s="1"/>
      <c r="H4" s="66">
        <f>'Фасады, декоративные элементы'!H4</f>
        <v>0</v>
      </c>
      <c r="I4" s="2"/>
    </row>
    <row r="5" spans="6:9" ht="15" customHeight="1">
      <c r="F5" s="3"/>
      <c r="G5" s="2"/>
      <c r="H5" s="59">
        <f>'Фасады, декоративные элементы'!K5</f>
        <v>0</v>
      </c>
      <c r="I5" s="2"/>
    </row>
    <row r="6" spans="3:9" ht="6" customHeight="1">
      <c r="C6" s="4"/>
      <c r="F6" s="4"/>
      <c r="G6" s="4"/>
      <c r="H6" s="4"/>
      <c r="I6" s="4"/>
    </row>
    <row r="7" spans="3:9" ht="19.5" customHeight="1">
      <c r="C7" s="401" t="s">
        <v>727</v>
      </c>
      <c r="D7" s="401"/>
      <c r="E7" s="401"/>
      <c r="F7" s="401"/>
      <c r="G7" s="401"/>
      <c r="H7" s="401"/>
      <c r="I7" s="5"/>
    </row>
    <row r="8" ht="5.25" customHeight="1">
      <c r="I8" s="6"/>
    </row>
    <row r="9" spans="1:8" ht="19.5" customHeight="1">
      <c r="A9" s="405" t="s">
        <v>252</v>
      </c>
      <c r="B9" s="405"/>
      <c r="C9" s="389" t="s">
        <v>97</v>
      </c>
      <c r="D9" s="389"/>
      <c r="E9" s="389" t="s">
        <v>440</v>
      </c>
      <c r="F9" s="389"/>
      <c r="G9" s="390" t="s">
        <v>441</v>
      </c>
      <c r="H9" s="390"/>
    </row>
    <row r="10" spans="1:8" ht="19.5" customHeight="1">
      <c r="A10" s="405"/>
      <c r="B10" s="405"/>
      <c r="C10" s="389"/>
      <c r="D10" s="389"/>
      <c r="E10" s="7" t="s">
        <v>132</v>
      </c>
      <c r="F10" s="7" t="s">
        <v>133</v>
      </c>
      <c r="G10" s="9" t="s">
        <v>132</v>
      </c>
      <c r="H10" s="9" t="s">
        <v>133</v>
      </c>
    </row>
    <row r="11" spans="1:8" ht="19.5" customHeight="1">
      <c r="A11" s="43" t="s">
        <v>132</v>
      </c>
      <c r="B11" s="43" t="s">
        <v>133</v>
      </c>
      <c r="C11" s="389"/>
      <c r="D11" s="389"/>
      <c r="E11" s="400" t="s">
        <v>157</v>
      </c>
      <c r="F11" s="400"/>
      <c r="G11" s="400"/>
      <c r="H11" s="400"/>
    </row>
    <row r="12" spans="1:8" ht="16.5" customHeight="1">
      <c r="A12" s="42" t="s">
        <v>253</v>
      </c>
      <c r="B12" s="42" t="s">
        <v>254</v>
      </c>
      <c r="C12" s="402" t="s">
        <v>137</v>
      </c>
      <c r="D12" s="402"/>
      <c r="E12" s="67">
        <v>532</v>
      </c>
      <c r="F12" s="67">
        <v>679</v>
      </c>
      <c r="G12" s="67">
        <v>799</v>
      </c>
      <c r="H12" s="67">
        <v>733</v>
      </c>
    </row>
    <row r="13" spans="1:8" ht="16.5" customHeight="1">
      <c r="A13" s="42" t="s">
        <v>255</v>
      </c>
      <c r="B13" s="42" t="s">
        <v>256</v>
      </c>
      <c r="C13" s="396" t="s">
        <v>100</v>
      </c>
      <c r="D13" s="396"/>
      <c r="E13" s="8">
        <v>287</v>
      </c>
      <c r="F13" s="8">
        <v>966</v>
      </c>
      <c r="G13" s="10">
        <v>394</v>
      </c>
      <c r="H13" s="10">
        <v>1019</v>
      </c>
    </row>
    <row r="14" spans="1:8" ht="16.5" customHeight="1">
      <c r="A14" s="42" t="s">
        <v>257</v>
      </c>
      <c r="B14" s="42" t="s">
        <v>258</v>
      </c>
      <c r="C14" s="394" t="s">
        <v>101</v>
      </c>
      <c r="D14" s="395"/>
      <c r="E14" s="68">
        <v>290</v>
      </c>
      <c r="F14" s="68">
        <v>969</v>
      </c>
      <c r="G14" s="68">
        <v>399</v>
      </c>
      <c r="H14" s="68">
        <v>1023</v>
      </c>
    </row>
    <row r="15" spans="1:8" ht="16.5" customHeight="1">
      <c r="A15" s="42" t="s">
        <v>259</v>
      </c>
      <c r="B15" s="42" t="s">
        <v>261</v>
      </c>
      <c r="C15" s="396" t="s">
        <v>138</v>
      </c>
      <c r="D15" s="396"/>
      <c r="E15" s="8">
        <v>329</v>
      </c>
      <c r="F15" s="8">
        <v>1008</v>
      </c>
      <c r="G15" s="10">
        <v>436</v>
      </c>
      <c r="H15" s="10">
        <v>1062</v>
      </c>
    </row>
    <row r="16" spans="1:8" ht="16.5" customHeight="1">
      <c r="A16" s="42" t="s">
        <v>260</v>
      </c>
      <c r="B16" s="42" t="s">
        <v>262</v>
      </c>
      <c r="C16" s="394" t="s">
        <v>139</v>
      </c>
      <c r="D16" s="395"/>
      <c r="E16" s="68">
        <v>613</v>
      </c>
      <c r="F16" s="68">
        <v>1262</v>
      </c>
      <c r="G16" s="68">
        <v>721</v>
      </c>
      <c r="H16" s="68">
        <v>1316</v>
      </c>
    </row>
    <row r="17" spans="1:8" ht="16.5" customHeight="1">
      <c r="A17" s="42" t="s">
        <v>263</v>
      </c>
      <c r="B17" s="42" t="s">
        <v>265</v>
      </c>
      <c r="C17" s="396" t="s">
        <v>140</v>
      </c>
      <c r="D17" s="396"/>
      <c r="E17" s="8">
        <v>318</v>
      </c>
      <c r="F17" s="8">
        <v>997</v>
      </c>
      <c r="G17" s="10">
        <v>425</v>
      </c>
      <c r="H17" s="10">
        <v>1051</v>
      </c>
    </row>
    <row r="18" spans="1:8" ht="16.5" customHeight="1">
      <c r="A18" s="42" t="s">
        <v>264</v>
      </c>
      <c r="B18" s="42" t="s">
        <v>266</v>
      </c>
      <c r="C18" s="394" t="s">
        <v>141</v>
      </c>
      <c r="D18" s="395"/>
      <c r="E18" s="68">
        <v>729</v>
      </c>
      <c r="F18" s="68">
        <v>1493</v>
      </c>
      <c r="G18" s="68">
        <v>838</v>
      </c>
      <c r="H18" s="68">
        <v>1547</v>
      </c>
    </row>
    <row r="19" spans="1:8" ht="16.5" customHeight="1">
      <c r="A19" s="42" t="s">
        <v>267</v>
      </c>
      <c r="B19" s="42" t="s">
        <v>269</v>
      </c>
      <c r="C19" s="396" t="s">
        <v>142</v>
      </c>
      <c r="D19" s="396"/>
      <c r="E19" s="8">
        <v>377</v>
      </c>
      <c r="F19" s="8">
        <v>1056</v>
      </c>
      <c r="G19" s="10">
        <v>487</v>
      </c>
      <c r="H19" s="10">
        <v>1110</v>
      </c>
    </row>
    <row r="20" spans="1:8" ht="16.5" customHeight="1">
      <c r="A20" s="42" t="s">
        <v>268</v>
      </c>
      <c r="B20" s="42" t="s">
        <v>270</v>
      </c>
      <c r="C20" s="394" t="s">
        <v>143</v>
      </c>
      <c r="D20" s="395"/>
      <c r="E20" s="68">
        <v>717</v>
      </c>
      <c r="F20" s="68">
        <v>1310</v>
      </c>
      <c r="G20" s="68">
        <v>824</v>
      </c>
      <c r="H20" s="68">
        <v>1364</v>
      </c>
    </row>
    <row r="21" spans="1:8" ht="16.5" customHeight="1">
      <c r="A21" s="42"/>
      <c r="B21" s="42" t="s">
        <v>272</v>
      </c>
      <c r="C21" s="396" t="s">
        <v>189</v>
      </c>
      <c r="D21" s="396"/>
      <c r="E21" s="8" t="s">
        <v>159</v>
      </c>
      <c r="F21" s="8">
        <v>1056</v>
      </c>
      <c r="G21" s="10" t="s">
        <v>159</v>
      </c>
      <c r="H21" s="10">
        <v>1110</v>
      </c>
    </row>
    <row r="22" spans="1:8" ht="16.5" customHeight="1">
      <c r="A22" s="42" t="s">
        <v>271</v>
      </c>
      <c r="B22" s="42" t="s">
        <v>273</v>
      </c>
      <c r="C22" s="394" t="s">
        <v>190</v>
      </c>
      <c r="D22" s="395"/>
      <c r="E22" s="68">
        <v>644</v>
      </c>
      <c r="F22" s="68">
        <v>1310</v>
      </c>
      <c r="G22" s="68">
        <v>750</v>
      </c>
      <c r="H22" s="68">
        <v>1364</v>
      </c>
    </row>
    <row r="23" spans="1:8" ht="9.75" customHeight="1">
      <c r="A23" s="6"/>
      <c r="B23" s="6"/>
      <c r="C23" s="54"/>
      <c r="D23" s="55"/>
      <c r="E23" s="56"/>
      <c r="F23" s="56"/>
      <c r="G23" s="56"/>
      <c r="H23" s="56"/>
    </row>
    <row r="24" spans="1:8" ht="16.5" customHeight="1">
      <c r="A24" s="405" t="s">
        <v>252</v>
      </c>
      <c r="B24" s="405"/>
      <c r="C24" s="389" t="s">
        <v>97</v>
      </c>
      <c r="D24" s="389"/>
      <c r="E24" s="389" t="s">
        <v>442</v>
      </c>
      <c r="F24" s="389"/>
      <c r="G24" s="390" t="s">
        <v>443</v>
      </c>
      <c r="H24" s="390"/>
    </row>
    <row r="25" spans="1:8" ht="16.5" customHeight="1">
      <c r="A25" s="405"/>
      <c r="B25" s="405"/>
      <c r="C25" s="389"/>
      <c r="D25" s="389"/>
      <c r="E25" s="7" t="s">
        <v>132</v>
      </c>
      <c r="F25" s="7" t="s">
        <v>133</v>
      </c>
      <c r="G25" s="9" t="s">
        <v>132</v>
      </c>
      <c r="H25" s="9" t="s">
        <v>133</v>
      </c>
    </row>
    <row r="26" spans="1:8" ht="16.5" customHeight="1">
      <c r="A26" s="43" t="s">
        <v>132</v>
      </c>
      <c r="B26" s="43" t="s">
        <v>133</v>
      </c>
      <c r="C26" s="389"/>
      <c r="D26" s="389"/>
      <c r="E26" s="400" t="s">
        <v>157</v>
      </c>
      <c r="F26" s="400"/>
      <c r="G26" s="400"/>
      <c r="H26" s="400"/>
    </row>
    <row r="27" spans="1:8" ht="16.5" customHeight="1">
      <c r="A27" s="42" t="s">
        <v>253</v>
      </c>
      <c r="B27" s="42" t="s">
        <v>254</v>
      </c>
      <c r="C27" s="402" t="s">
        <v>137</v>
      </c>
      <c r="D27" s="402"/>
      <c r="E27" s="67">
        <v>532</v>
      </c>
      <c r="F27" s="67">
        <v>679</v>
      </c>
      <c r="G27" s="67">
        <v>799</v>
      </c>
      <c r="H27" s="67">
        <v>733</v>
      </c>
    </row>
    <row r="28" spans="1:8" ht="16.5" customHeight="1">
      <c r="A28" s="42" t="s">
        <v>744</v>
      </c>
      <c r="B28" s="42" t="s">
        <v>745</v>
      </c>
      <c r="C28" s="396" t="s">
        <v>450</v>
      </c>
      <c r="D28" s="396"/>
      <c r="E28" s="8">
        <v>979</v>
      </c>
      <c r="F28" s="8">
        <v>869</v>
      </c>
      <c r="G28" s="10">
        <v>1639</v>
      </c>
      <c r="H28" s="10">
        <v>1485</v>
      </c>
    </row>
    <row r="29" spans="1:8" ht="16.5" customHeight="1">
      <c r="A29" s="42" t="s">
        <v>772</v>
      </c>
      <c r="B29" s="42" t="s">
        <v>773</v>
      </c>
      <c r="C29" s="394" t="s">
        <v>100</v>
      </c>
      <c r="D29" s="395"/>
      <c r="E29" s="68">
        <v>370</v>
      </c>
      <c r="F29" s="68">
        <v>1156</v>
      </c>
      <c r="G29" s="68">
        <v>550</v>
      </c>
      <c r="H29" s="68">
        <v>1771</v>
      </c>
    </row>
    <row r="30" spans="1:8" ht="16.5" customHeight="1">
      <c r="A30" s="42" t="s">
        <v>774</v>
      </c>
      <c r="B30" s="42" t="s">
        <v>775</v>
      </c>
      <c r="C30" s="396" t="s">
        <v>101</v>
      </c>
      <c r="D30" s="396"/>
      <c r="E30" s="8">
        <v>373</v>
      </c>
      <c r="F30" s="8">
        <v>1159</v>
      </c>
      <c r="G30" s="10">
        <v>555</v>
      </c>
      <c r="H30" s="10">
        <v>1775</v>
      </c>
    </row>
    <row r="31" spans="1:8" ht="16.5" customHeight="1">
      <c r="A31" s="42" t="s">
        <v>776</v>
      </c>
      <c r="B31" s="42" t="s">
        <v>777</v>
      </c>
      <c r="C31" s="394" t="s">
        <v>138</v>
      </c>
      <c r="D31" s="395"/>
      <c r="E31" s="68">
        <v>412</v>
      </c>
      <c r="F31" s="68">
        <v>1198</v>
      </c>
      <c r="G31" s="68">
        <v>592</v>
      </c>
      <c r="H31" s="68">
        <v>1814</v>
      </c>
    </row>
    <row r="32" spans="1:8" ht="16.5" customHeight="1">
      <c r="A32" s="42" t="s">
        <v>778</v>
      </c>
      <c r="B32" s="42" t="s">
        <v>779</v>
      </c>
      <c r="C32" s="396" t="s">
        <v>139</v>
      </c>
      <c r="D32" s="396"/>
      <c r="E32" s="8">
        <v>696</v>
      </c>
      <c r="F32" s="8">
        <v>1452</v>
      </c>
      <c r="G32" s="10">
        <v>877</v>
      </c>
      <c r="H32" s="10">
        <v>2068</v>
      </c>
    </row>
    <row r="33" spans="1:8" ht="16.5" customHeight="1">
      <c r="A33" s="42" t="s">
        <v>780</v>
      </c>
      <c r="B33" s="42" t="s">
        <v>781</v>
      </c>
      <c r="C33" s="394" t="s">
        <v>140</v>
      </c>
      <c r="D33" s="395"/>
      <c r="E33" s="68">
        <v>401</v>
      </c>
      <c r="F33" s="68">
        <v>1187</v>
      </c>
      <c r="G33" s="68">
        <v>581</v>
      </c>
      <c r="H33" s="68">
        <v>1803</v>
      </c>
    </row>
    <row r="34" spans="1:8" ht="16.5" customHeight="1">
      <c r="A34" s="42" t="s">
        <v>782</v>
      </c>
      <c r="B34" s="42" t="s">
        <v>783</v>
      </c>
      <c r="C34" s="396" t="s">
        <v>141</v>
      </c>
      <c r="D34" s="396"/>
      <c r="E34" s="8">
        <v>812</v>
      </c>
      <c r="F34" s="8">
        <v>1683</v>
      </c>
      <c r="G34" s="10">
        <v>994</v>
      </c>
      <c r="H34" s="10">
        <v>2299</v>
      </c>
    </row>
    <row r="35" spans="1:8" ht="16.5" customHeight="1">
      <c r="A35" s="42" t="s">
        <v>784</v>
      </c>
      <c r="B35" s="42" t="s">
        <v>785</v>
      </c>
      <c r="C35" s="394" t="s">
        <v>142</v>
      </c>
      <c r="D35" s="395"/>
      <c r="E35" s="68">
        <v>460</v>
      </c>
      <c r="F35" s="68">
        <v>1246</v>
      </c>
      <c r="G35" s="68">
        <v>643</v>
      </c>
      <c r="H35" s="68">
        <v>1862</v>
      </c>
    </row>
    <row r="36" spans="1:8" ht="16.5" customHeight="1">
      <c r="A36" s="42" t="s">
        <v>786</v>
      </c>
      <c r="B36" s="42" t="s">
        <v>787</v>
      </c>
      <c r="C36" s="396" t="s">
        <v>143</v>
      </c>
      <c r="D36" s="396"/>
      <c r="E36" s="8">
        <v>800</v>
      </c>
      <c r="F36" s="8">
        <v>1500</v>
      </c>
      <c r="G36" s="10">
        <v>980</v>
      </c>
      <c r="H36" s="10">
        <v>2116</v>
      </c>
    </row>
    <row r="37" spans="1:8" ht="16.5" customHeight="1">
      <c r="A37" s="42"/>
      <c r="B37" s="42" t="s">
        <v>272</v>
      </c>
      <c r="C37" s="402" t="s">
        <v>189</v>
      </c>
      <c r="D37" s="402"/>
      <c r="E37" s="67"/>
      <c r="F37" s="67">
        <v>1246</v>
      </c>
      <c r="G37" s="67"/>
      <c r="H37" s="67">
        <v>1862</v>
      </c>
    </row>
    <row r="38" spans="1:8" ht="16.5" customHeight="1">
      <c r="A38" s="42" t="s">
        <v>788</v>
      </c>
      <c r="B38" s="42" t="s">
        <v>789</v>
      </c>
      <c r="C38" s="396" t="s">
        <v>190</v>
      </c>
      <c r="D38" s="396"/>
      <c r="E38" s="8">
        <v>727</v>
      </c>
      <c r="F38" s="8">
        <v>1500</v>
      </c>
      <c r="G38" s="10">
        <v>906</v>
      </c>
      <c r="H38" s="10">
        <v>2116</v>
      </c>
    </row>
    <row r="39" spans="3:8" ht="48.75" customHeight="1">
      <c r="C39" s="406" t="s">
        <v>161</v>
      </c>
      <c r="D39" s="407"/>
      <c r="E39" s="407"/>
      <c r="F39" s="407"/>
      <c r="G39" s="407"/>
      <c r="H39" s="408"/>
    </row>
    <row r="40" spans="3:8" ht="12" customHeight="1">
      <c r="C40" s="409" t="s">
        <v>162</v>
      </c>
      <c r="D40" s="410"/>
      <c r="E40" s="410"/>
      <c r="F40" s="410"/>
      <c r="G40" s="410"/>
      <c r="H40" s="411"/>
    </row>
    <row r="41" spans="3:8" ht="23.25" customHeight="1">
      <c r="C41" s="415" t="s">
        <v>163</v>
      </c>
      <c r="D41" s="412"/>
      <c r="E41" s="412"/>
      <c r="F41" s="412" t="s">
        <v>160</v>
      </c>
      <c r="G41" s="413"/>
      <c r="H41" s="414"/>
    </row>
    <row r="42" spans="3:8" ht="57.75" customHeight="1">
      <c r="C42" s="403" t="s">
        <v>194</v>
      </c>
      <c r="D42" s="404"/>
      <c r="E42" s="404"/>
      <c r="F42" s="404"/>
      <c r="G42" s="404"/>
      <c r="H42" s="404"/>
    </row>
    <row r="43" spans="3:8" ht="21" customHeight="1">
      <c r="C43" s="401" t="s">
        <v>728</v>
      </c>
      <c r="D43" s="401"/>
      <c r="E43" s="401"/>
      <c r="F43" s="401"/>
      <c r="G43" s="401"/>
      <c r="H43" s="401"/>
    </row>
    <row r="44" spans="1:8" ht="19.5" customHeight="1">
      <c r="A44" s="383"/>
      <c r="B44" s="384"/>
      <c r="C44" s="389" t="s">
        <v>97</v>
      </c>
      <c r="D44" s="389"/>
      <c r="E44" s="389" t="s">
        <v>440</v>
      </c>
      <c r="F44" s="389"/>
      <c r="G44" s="390" t="s">
        <v>441</v>
      </c>
      <c r="H44" s="390"/>
    </row>
    <row r="45" spans="1:8" ht="19.5" customHeight="1">
      <c r="A45" s="385"/>
      <c r="B45" s="386"/>
      <c r="C45" s="389"/>
      <c r="D45" s="389"/>
      <c r="E45" s="7" t="s">
        <v>132</v>
      </c>
      <c r="F45" s="7" t="s">
        <v>133</v>
      </c>
      <c r="G45" s="9" t="s">
        <v>132</v>
      </c>
      <c r="H45" s="9" t="s">
        <v>133</v>
      </c>
    </row>
    <row r="46" spans="1:8" ht="19.5" customHeight="1">
      <c r="A46" s="387"/>
      <c r="B46" s="388"/>
      <c r="C46" s="389"/>
      <c r="D46" s="389"/>
      <c r="E46" s="400" t="s">
        <v>157</v>
      </c>
      <c r="F46" s="400"/>
      <c r="G46" s="400"/>
      <c r="H46" s="400"/>
    </row>
    <row r="47" spans="1:8" ht="16.5" customHeight="1">
      <c r="A47" s="42" t="s">
        <v>274</v>
      </c>
      <c r="B47" s="42" t="s">
        <v>275</v>
      </c>
      <c r="C47" s="402" t="s">
        <v>144</v>
      </c>
      <c r="D47" s="402"/>
      <c r="E47" s="67">
        <v>3012</v>
      </c>
      <c r="F47" s="67">
        <v>3557</v>
      </c>
      <c r="G47" s="67">
        <v>3059</v>
      </c>
      <c r="H47" s="67">
        <v>3608</v>
      </c>
    </row>
    <row r="48" spans="1:8" ht="16.5" customHeight="1">
      <c r="A48" s="42" t="s">
        <v>276</v>
      </c>
      <c r="B48" s="42" t="s">
        <v>277</v>
      </c>
      <c r="C48" s="396" t="s">
        <v>145</v>
      </c>
      <c r="D48" s="396"/>
      <c r="E48" s="8">
        <v>1346</v>
      </c>
      <c r="F48" s="8">
        <v>1894</v>
      </c>
      <c r="G48" s="10">
        <v>1394</v>
      </c>
      <c r="H48" s="10">
        <v>1945</v>
      </c>
    </row>
    <row r="49" spans="1:8" ht="16.5" customHeight="1">
      <c r="A49" s="42" t="s">
        <v>278</v>
      </c>
      <c r="B49" s="42" t="s">
        <v>279</v>
      </c>
      <c r="C49" s="394" t="s">
        <v>146</v>
      </c>
      <c r="D49" s="395"/>
      <c r="E49" s="68">
        <v>2478</v>
      </c>
      <c r="F49" s="68">
        <v>3568</v>
      </c>
      <c r="G49" s="68">
        <v>2526</v>
      </c>
      <c r="H49" s="68">
        <v>3619</v>
      </c>
    </row>
    <row r="50" spans="1:8" ht="16.5" customHeight="1">
      <c r="A50" s="42" t="s">
        <v>280</v>
      </c>
      <c r="B50" s="42" t="s">
        <v>281</v>
      </c>
      <c r="C50" s="396" t="s">
        <v>147</v>
      </c>
      <c r="D50" s="396"/>
      <c r="E50" s="8">
        <v>917</v>
      </c>
      <c r="F50" s="8">
        <v>1718</v>
      </c>
      <c r="G50" s="10">
        <v>965</v>
      </c>
      <c r="H50" s="10">
        <v>1769</v>
      </c>
    </row>
    <row r="51" spans="1:8" ht="16.5" customHeight="1">
      <c r="A51" s="42" t="s">
        <v>282</v>
      </c>
      <c r="B51" s="42" t="s">
        <v>283</v>
      </c>
      <c r="C51" s="394" t="s">
        <v>148</v>
      </c>
      <c r="D51" s="395"/>
      <c r="E51" s="68">
        <v>1126</v>
      </c>
      <c r="F51" s="68">
        <v>2169</v>
      </c>
      <c r="G51" s="68">
        <v>1174</v>
      </c>
      <c r="H51" s="68">
        <v>2221</v>
      </c>
    </row>
    <row r="52" spans="1:8" ht="16.5" customHeight="1">
      <c r="A52" s="42" t="s">
        <v>284</v>
      </c>
      <c r="B52" s="42" t="s">
        <v>285</v>
      </c>
      <c r="C52" s="396" t="s">
        <v>149</v>
      </c>
      <c r="D52" s="396"/>
      <c r="E52" s="8">
        <v>1531</v>
      </c>
      <c r="F52" s="8">
        <v>2332</v>
      </c>
      <c r="G52" s="10">
        <v>1577</v>
      </c>
      <c r="H52" s="10">
        <v>2383</v>
      </c>
    </row>
    <row r="53" spans="1:8" ht="16.5" customHeight="1">
      <c r="A53" s="42" t="s">
        <v>286</v>
      </c>
      <c r="B53" s="42" t="s">
        <v>287</v>
      </c>
      <c r="C53" s="394" t="s">
        <v>150</v>
      </c>
      <c r="D53" s="395"/>
      <c r="E53" s="68">
        <v>1588</v>
      </c>
      <c r="F53" s="68">
        <v>2388</v>
      </c>
      <c r="G53" s="68">
        <v>1636</v>
      </c>
      <c r="H53" s="68">
        <v>2440</v>
      </c>
    </row>
    <row r="54" spans="1:8" ht="16.5" customHeight="1">
      <c r="A54" s="42" t="s">
        <v>288</v>
      </c>
      <c r="B54" s="42" t="s">
        <v>289</v>
      </c>
      <c r="C54" s="396" t="s">
        <v>151</v>
      </c>
      <c r="D54" s="396"/>
      <c r="E54" s="8">
        <v>1756</v>
      </c>
      <c r="F54" s="8">
        <v>2302</v>
      </c>
      <c r="G54" s="10">
        <v>1803</v>
      </c>
      <c r="H54" s="10">
        <v>2354</v>
      </c>
    </row>
    <row r="55" spans="1:8" ht="16.5" customHeight="1">
      <c r="A55" s="42" t="s">
        <v>290</v>
      </c>
      <c r="B55" s="42" t="s">
        <v>291</v>
      </c>
      <c r="C55" s="394" t="s">
        <v>152</v>
      </c>
      <c r="D55" s="395"/>
      <c r="E55" s="68">
        <v>1321</v>
      </c>
      <c r="F55" s="68">
        <v>1868</v>
      </c>
      <c r="G55" s="68">
        <v>1368</v>
      </c>
      <c r="H55" s="68">
        <v>1920</v>
      </c>
    </row>
    <row r="56" spans="1:8" ht="16.5" customHeight="1">
      <c r="A56" s="42" t="s">
        <v>292</v>
      </c>
      <c r="B56" s="42" t="s">
        <v>293</v>
      </c>
      <c r="C56" s="396" t="s">
        <v>153</v>
      </c>
      <c r="D56" s="396"/>
      <c r="E56" s="8">
        <v>1552</v>
      </c>
      <c r="F56" s="8">
        <v>2354</v>
      </c>
      <c r="G56" s="10">
        <v>1599</v>
      </c>
      <c r="H56" s="10">
        <v>2405</v>
      </c>
    </row>
    <row r="57" spans="1:8" ht="16.5" customHeight="1">
      <c r="A57" s="42" t="s">
        <v>294</v>
      </c>
      <c r="B57" s="42" t="s">
        <v>295</v>
      </c>
      <c r="C57" s="394" t="s">
        <v>154</v>
      </c>
      <c r="D57" s="395"/>
      <c r="E57" s="68">
        <v>1398</v>
      </c>
      <c r="F57" s="68">
        <v>2199</v>
      </c>
      <c r="G57" s="68">
        <v>1444</v>
      </c>
      <c r="H57" s="68">
        <v>2550</v>
      </c>
    </row>
    <row r="58" spans="1:8" ht="16.5" customHeight="1">
      <c r="A58" s="42" t="s">
        <v>296</v>
      </c>
      <c r="B58" s="42" t="s">
        <v>297</v>
      </c>
      <c r="C58" s="396" t="s">
        <v>155</v>
      </c>
      <c r="D58" s="396"/>
      <c r="E58" s="8">
        <v>1716</v>
      </c>
      <c r="F58" s="8">
        <v>2262</v>
      </c>
      <c r="G58" s="10">
        <v>1763</v>
      </c>
      <c r="H58" s="10">
        <v>2312</v>
      </c>
    </row>
    <row r="59" spans="1:8" ht="16.5" customHeight="1">
      <c r="A59" s="42" t="s">
        <v>298</v>
      </c>
      <c r="B59" s="42" t="s">
        <v>299</v>
      </c>
      <c r="C59" s="394" t="s">
        <v>156</v>
      </c>
      <c r="D59" s="395"/>
      <c r="E59" s="68">
        <v>1716</v>
      </c>
      <c r="F59" s="68">
        <v>2262</v>
      </c>
      <c r="G59" s="68">
        <v>1763</v>
      </c>
      <c r="H59" s="68">
        <v>2312</v>
      </c>
    </row>
    <row r="60" spans="1:8" ht="7.5" customHeight="1">
      <c r="A60" s="6"/>
      <c r="B60" s="6"/>
      <c r="C60" s="54"/>
      <c r="D60" s="55"/>
      <c r="E60" s="56"/>
      <c r="F60" s="56"/>
      <c r="G60" s="56"/>
      <c r="H60" s="56"/>
    </row>
    <row r="61" spans="1:8" ht="16.5" customHeight="1">
      <c r="A61" s="383"/>
      <c r="B61" s="384"/>
      <c r="C61" s="389" t="s">
        <v>97</v>
      </c>
      <c r="D61" s="389"/>
      <c r="E61" s="389" t="s">
        <v>442</v>
      </c>
      <c r="F61" s="389"/>
      <c r="G61" s="390" t="s">
        <v>443</v>
      </c>
      <c r="H61" s="390"/>
    </row>
    <row r="62" spans="1:8" ht="16.5" customHeight="1">
      <c r="A62" s="385"/>
      <c r="B62" s="386"/>
      <c r="C62" s="389"/>
      <c r="D62" s="389"/>
      <c r="E62" s="7" t="s">
        <v>132</v>
      </c>
      <c r="F62" s="7" t="s">
        <v>133</v>
      </c>
      <c r="G62" s="9" t="s">
        <v>132</v>
      </c>
      <c r="H62" s="9" t="s">
        <v>133</v>
      </c>
    </row>
    <row r="63" spans="1:8" ht="16.5" customHeight="1">
      <c r="A63" s="387"/>
      <c r="B63" s="388"/>
      <c r="C63" s="389"/>
      <c r="D63" s="389"/>
      <c r="E63" s="400" t="s">
        <v>157</v>
      </c>
      <c r="F63" s="400"/>
      <c r="G63" s="400"/>
      <c r="H63" s="400"/>
    </row>
    <row r="64" spans="1:8" ht="16.5" customHeight="1">
      <c r="A64" s="42" t="s">
        <v>790</v>
      </c>
      <c r="B64" s="42" t="s">
        <v>791</v>
      </c>
      <c r="C64" s="402" t="s">
        <v>144</v>
      </c>
      <c r="D64" s="402"/>
      <c r="E64" s="67">
        <v>3095</v>
      </c>
      <c r="F64" s="67">
        <v>3747</v>
      </c>
      <c r="G64" s="67">
        <v>3215</v>
      </c>
      <c r="H64" s="67">
        <v>4360</v>
      </c>
    </row>
    <row r="65" spans="1:8" ht="16.5" customHeight="1">
      <c r="A65" s="42" t="s">
        <v>792</v>
      </c>
      <c r="B65" s="42" t="s">
        <v>793</v>
      </c>
      <c r="C65" s="396" t="s">
        <v>145</v>
      </c>
      <c r="D65" s="396"/>
      <c r="E65" s="8">
        <v>1429</v>
      </c>
      <c r="F65" s="8">
        <v>2084</v>
      </c>
      <c r="G65" s="10">
        <v>1550</v>
      </c>
      <c r="H65" s="10">
        <v>2697</v>
      </c>
    </row>
    <row r="66" spans="1:8" ht="16.5" customHeight="1">
      <c r="A66" s="42" t="s">
        <v>794</v>
      </c>
      <c r="B66" s="42" t="s">
        <v>795</v>
      </c>
      <c r="C66" s="394" t="s">
        <v>146</v>
      </c>
      <c r="D66" s="395"/>
      <c r="E66" s="68">
        <v>2561</v>
      </c>
      <c r="F66" s="68">
        <v>3758</v>
      </c>
      <c r="G66" s="68">
        <v>2682</v>
      </c>
      <c r="H66" s="68">
        <v>4371</v>
      </c>
    </row>
    <row r="67" spans="1:8" ht="16.5" customHeight="1">
      <c r="A67" s="42" t="s">
        <v>796</v>
      </c>
      <c r="B67" s="42" t="s">
        <v>797</v>
      </c>
      <c r="C67" s="396" t="s">
        <v>147</v>
      </c>
      <c r="D67" s="396"/>
      <c r="E67" s="8">
        <v>1000</v>
      </c>
      <c r="F67" s="8">
        <v>1908</v>
      </c>
      <c r="G67" s="10">
        <v>1121</v>
      </c>
      <c r="H67" s="10">
        <v>2521</v>
      </c>
    </row>
    <row r="68" spans="1:8" ht="16.5" customHeight="1">
      <c r="A68" s="42" t="s">
        <v>798</v>
      </c>
      <c r="B68" s="42" t="s">
        <v>799</v>
      </c>
      <c r="C68" s="394" t="s">
        <v>148</v>
      </c>
      <c r="D68" s="395"/>
      <c r="E68" s="68">
        <v>1209</v>
      </c>
      <c r="F68" s="68">
        <v>2359</v>
      </c>
      <c r="G68" s="68">
        <v>1330</v>
      </c>
      <c r="H68" s="68">
        <v>2973</v>
      </c>
    </row>
    <row r="69" spans="1:8" ht="16.5" customHeight="1">
      <c r="A69" s="42" t="s">
        <v>800</v>
      </c>
      <c r="B69" s="42" t="s">
        <v>801</v>
      </c>
      <c r="C69" s="396" t="s">
        <v>149</v>
      </c>
      <c r="D69" s="396"/>
      <c r="E69" s="8">
        <v>1614</v>
      </c>
      <c r="F69" s="8">
        <v>2522</v>
      </c>
      <c r="G69" s="10">
        <v>1733</v>
      </c>
      <c r="H69" s="10">
        <v>3135</v>
      </c>
    </row>
    <row r="70" spans="1:8" ht="16.5" customHeight="1">
      <c r="A70" s="42" t="s">
        <v>802</v>
      </c>
      <c r="B70" s="42" t="s">
        <v>803</v>
      </c>
      <c r="C70" s="394" t="s">
        <v>150</v>
      </c>
      <c r="D70" s="395"/>
      <c r="E70" s="68">
        <v>1671</v>
      </c>
      <c r="F70" s="68">
        <v>2578</v>
      </c>
      <c r="G70" s="68">
        <v>1792</v>
      </c>
      <c r="H70" s="68">
        <v>3192</v>
      </c>
    </row>
    <row r="71" spans="1:8" ht="16.5" customHeight="1">
      <c r="A71" s="42" t="s">
        <v>804</v>
      </c>
      <c r="B71" s="42" t="s">
        <v>805</v>
      </c>
      <c r="C71" s="396" t="s">
        <v>151</v>
      </c>
      <c r="D71" s="396"/>
      <c r="E71" s="8">
        <v>1839</v>
      </c>
      <c r="F71" s="8">
        <v>2492</v>
      </c>
      <c r="G71" s="10">
        <v>1959</v>
      </c>
      <c r="H71" s="10">
        <v>3106</v>
      </c>
    </row>
    <row r="72" spans="1:8" ht="16.5" customHeight="1">
      <c r="A72" s="42" t="s">
        <v>806</v>
      </c>
      <c r="B72" s="42" t="s">
        <v>807</v>
      </c>
      <c r="C72" s="394" t="s">
        <v>152</v>
      </c>
      <c r="D72" s="395"/>
      <c r="E72" s="68">
        <v>1404</v>
      </c>
      <c r="F72" s="68">
        <v>2058</v>
      </c>
      <c r="G72" s="68">
        <v>1524</v>
      </c>
      <c r="H72" s="68">
        <v>2672</v>
      </c>
    </row>
    <row r="73" spans="1:8" ht="16.5" customHeight="1">
      <c r="A73" s="42" t="s">
        <v>808</v>
      </c>
      <c r="B73" s="42" t="s">
        <v>809</v>
      </c>
      <c r="C73" s="396" t="s">
        <v>153</v>
      </c>
      <c r="D73" s="396"/>
      <c r="E73" s="8">
        <v>1635</v>
      </c>
      <c r="F73" s="8">
        <v>2544</v>
      </c>
      <c r="G73" s="10">
        <v>1755</v>
      </c>
      <c r="H73" s="10">
        <v>3157</v>
      </c>
    </row>
    <row r="74" spans="1:8" ht="16.5" customHeight="1">
      <c r="A74" s="42" t="s">
        <v>810</v>
      </c>
      <c r="B74" s="42" t="s">
        <v>811</v>
      </c>
      <c r="C74" s="394" t="s">
        <v>154</v>
      </c>
      <c r="D74" s="395"/>
      <c r="E74" s="68">
        <v>1481</v>
      </c>
      <c r="F74" s="68">
        <v>2389</v>
      </c>
      <c r="G74" s="68">
        <v>1600</v>
      </c>
      <c r="H74" s="68">
        <v>3302</v>
      </c>
    </row>
    <row r="75" spans="1:8" ht="16.5" customHeight="1">
      <c r="A75" s="42" t="s">
        <v>812</v>
      </c>
      <c r="B75" s="42" t="s">
        <v>813</v>
      </c>
      <c r="C75" s="396" t="s">
        <v>155</v>
      </c>
      <c r="D75" s="396"/>
      <c r="E75" s="8">
        <v>1799</v>
      </c>
      <c r="F75" s="8">
        <v>2452</v>
      </c>
      <c r="G75" s="10">
        <v>1919</v>
      </c>
      <c r="H75" s="10">
        <v>3064</v>
      </c>
    </row>
    <row r="76" spans="1:8" ht="16.5" customHeight="1">
      <c r="A76" s="42" t="s">
        <v>814</v>
      </c>
      <c r="B76" s="42" t="s">
        <v>815</v>
      </c>
      <c r="C76" s="394" t="s">
        <v>156</v>
      </c>
      <c r="D76" s="395"/>
      <c r="E76" s="68">
        <v>1799</v>
      </c>
      <c r="F76" s="68">
        <v>2452</v>
      </c>
      <c r="G76" s="68">
        <v>1919</v>
      </c>
      <c r="H76" s="68">
        <v>3064</v>
      </c>
    </row>
    <row r="77" spans="3:8" ht="26.25" customHeight="1">
      <c r="C77" s="403" t="s">
        <v>158</v>
      </c>
      <c r="D77" s="404"/>
      <c r="E77" s="404"/>
      <c r="F77" s="404"/>
      <c r="G77" s="404"/>
      <c r="H77" s="404"/>
    </row>
    <row r="78" spans="3:8" ht="66.75" customHeight="1">
      <c r="C78" s="403" t="s">
        <v>193</v>
      </c>
      <c r="D78" s="404"/>
      <c r="E78" s="404"/>
      <c r="F78" s="404"/>
      <c r="G78" s="404"/>
      <c r="H78" s="404"/>
    </row>
    <row r="79" spans="3:8" ht="20.25">
      <c r="C79" s="401" t="s">
        <v>729</v>
      </c>
      <c r="D79" s="401"/>
      <c r="E79" s="401"/>
      <c r="F79" s="401"/>
      <c r="G79" s="401"/>
      <c r="H79" s="401"/>
    </row>
    <row r="80" spans="1:8" ht="19.5" customHeight="1">
      <c r="A80" s="383"/>
      <c r="B80" s="384"/>
      <c r="C80" s="389" t="s">
        <v>97</v>
      </c>
      <c r="D80" s="389"/>
      <c r="E80" s="389" t="s">
        <v>440</v>
      </c>
      <c r="F80" s="389"/>
      <c r="G80" s="390" t="s">
        <v>441</v>
      </c>
      <c r="H80" s="390"/>
    </row>
    <row r="81" spans="1:8" ht="19.5" customHeight="1">
      <c r="A81" s="385"/>
      <c r="B81" s="386"/>
      <c r="C81" s="389"/>
      <c r="D81" s="389"/>
      <c r="E81" s="7" t="s">
        <v>132</v>
      </c>
      <c r="F81" s="7" t="s">
        <v>133</v>
      </c>
      <c r="G81" s="9" t="s">
        <v>132</v>
      </c>
      <c r="H81" s="9" t="s">
        <v>133</v>
      </c>
    </row>
    <row r="82" spans="1:8" ht="19.5" customHeight="1">
      <c r="A82" s="387"/>
      <c r="B82" s="388"/>
      <c r="C82" s="389"/>
      <c r="D82" s="389"/>
      <c r="E82" s="400" t="s">
        <v>157</v>
      </c>
      <c r="F82" s="400"/>
      <c r="G82" s="400"/>
      <c r="H82" s="400"/>
    </row>
    <row r="83" spans="1:8" ht="16.5" customHeight="1">
      <c r="A83" s="48" t="s">
        <v>477</v>
      </c>
      <c r="B83" s="48" t="s">
        <v>478</v>
      </c>
      <c r="C83" s="402" t="s">
        <v>479</v>
      </c>
      <c r="D83" s="402"/>
      <c r="E83" s="67">
        <v>1026</v>
      </c>
      <c r="F83" s="67">
        <v>1183</v>
      </c>
      <c r="G83" s="67">
        <v>1131</v>
      </c>
      <c r="H83" s="67">
        <v>1313</v>
      </c>
    </row>
    <row r="84" spans="1:8" ht="16.5" customHeight="1">
      <c r="A84" s="48" t="s">
        <v>480</v>
      </c>
      <c r="B84" s="48" t="s">
        <v>481</v>
      </c>
      <c r="C84" s="396" t="s">
        <v>482</v>
      </c>
      <c r="D84" s="396"/>
      <c r="E84" s="8">
        <v>1430</v>
      </c>
      <c r="F84" s="8">
        <v>1587</v>
      </c>
      <c r="G84" s="10">
        <v>1535</v>
      </c>
      <c r="H84" s="10">
        <v>1717</v>
      </c>
    </row>
    <row r="85" spans="1:8" ht="16.5" customHeight="1">
      <c r="A85" s="48" t="s">
        <v>586</v>
      </c>
      <c r="B85" s="48"/>
      <c r="C85" s="394" t="s">
        <v>587</v>
      </c>
      <c r="D85" s="395"/>
      <c r="E85" s="68">
        <v>886</v>
      </c>
      <c r="F85" s="68" t="s">
        <v>159</v>
      </c>
      <c r="G85" s="68">
        <v>912</v>
      </c>
      <c r="H85" s="68" t="s">
        <v>159</v>
      </c>
    </row>
    <row r="86" spans="1:8" ht="16.5" customHeight="1">
      <c r="A86" s="48" t="s">
        <v>483</v>
      </c>
      <c r="B86" s="48" t="s">
        <v>484</v>
      </c>
      <c r="C86" s="396" t="s">
        <v>485</v>
      </c>
      <c r="D86" s="396"/>
      <c r="E86" s="8">
        <v>971</v>
      </c>
      <c r="F86" s="8">
        <v>1128</v>
      </c>
      <c r="G86" s="10">
        <v>1076</v>
      </c>
      <c r="H86" s="10">
        <v>1258</v>
      </c>
    </row>
    <row r="87" spans="1:8" ht="16.5" customHeight="1">
      <c r="A87" s="48" t="s">
        <v>486</v>
      </c>
      <c r="B87" s="48"/>
      <c r="C87" s="394" t="s">
        <v>487</v>
      </c>
      <c r="D87" s="395"/>
      <c r="E87" s="68">
        <v>1389</v>
      </c>
      <c r="F87" s="68" t="s">
        <v>159</v>
      </c>
      <c r="G87" s="68">
        <v>1494</v>
      </c>
      <c r="H87" s="68" t="s">
        <v>159</v>
      </c>
    </row>
    <row r="88" spans="1:8" ht="16.5" customHeight="1">
      <c r="A88" s="48" t="s">
        <v>588</v>
      </c>
      <c r="B88" s="48"/>
      <c r="C88" s="396" t="s">
        <v>589</v>
      </c>
      <c r="D88" s="396"/>
      <c r="E88" s="8">
        <v>817</v>
      </c>
      <c r="F88" s="8" t="s">
        <v>159</v>
      </c>
      <c r="G88" s="10">
        <v>833</v>
      </c>
      <c r="H88" s="10" t="s">
        <v>159</v>
      </c>
    </row>
    <row r="89" spans="1:8" ht="16.5" customHeight="1">
      <c r="A89" s="48" t="s">
        <v>488</v>
      </c>
      <c r="B89" s="48" t="s">
        <v>489</v>
      </c>
      <c r="C89" s="394" t="s">
        <v>490</v>
      </c>
      <c r="D89" s="395"/>
      <c r="E89" s="68">
        <v>861</v>
      </c>
      <c r="F89" s="68">
        <v>1018</v>
      </c>
      <c r="G89" s="68">
        <v>966</v>
      </c>
      <c r="H89" s="68">
        <v>1148</v>
      </c>
    </row>
    <row r="90" spans="1:8" ht="16.5" customHeight="1">
      <c r="A90" s="48" t="s">
        <v>491</v>
      </c>
      <c r="B90" s="48" t="s">
        <v>492</v>
      </c>
      <c r="C90" s="396" t="s">
        <v>493</v>
      </c>
      <c r="D90" s="396"/>
      <c r="E90" s="8">
        <v>1048</v>
      </c>
      <c r="F90" s="8">
        <v>1205</v>
      </c>
      <c r="G90" s="10">
        <v>1153</v>
      </c>
      <c r="H90" s="10">
        <v>1335</v>
      </c>
    </row>
    <row r="91" spans="1:8" ht="16.5" customHeight="1">
      <c r="A91" s="48" t="s">
        <v>590</v>
      </c>
      <c r="B91" s="48"/>
      <c r="C91" s="394" t="s">
        <v>591</v>
      </c>
      <c r="D91" s="395"/>
      <c r="E91" s="68">
        <v>714</v>
      </c>
      <c r="F91" s="68" t="s">
        <v>159</v>
      </c>
      <c r="G91" s="68">
        <v>735</v>
      </c>
      <c r="H91" s="68" t="s">
        <v>159</v>
      </c>
    </row>
    <row r="92" spans="1:8" ht="16.5" customHeight="1">
      <c r="A92" s="48" t="s">
        <v>494</v>
      </c>
      <c r="B92" s="48" t="s">
        <v>495</v>
      </c>
      <c r="C92" s="396" t="s">
        <v>496</v>
      </c>
      <c r="D92" s="396"/>
      <c r="E92" s="8">
        <v>801</v>
      </c>
      <c r="F92" s="8">
        <v>957</v>
      </c>
      <c r="G92" s="10">
        <v>905</v>
      </c>
      <c r="H92" s="10">
        <v>1088</v>
      </c>
    </row>
    <row r="93" spans="1:8" ht="16.5" customHeight="1">
      <c r="A93" s="48" t="s">
        <v>497</v>
      </c>
      <c r="B93" s="48"/>
      <c r="C93" s="394" t="s">
        <v>498</v>
      </c>
      <c r="D93" s="395"/>
      <c r="E93" s="68">
        <v>1320</v>
      </c>
      <c r="F93" s="68" t="s">
        <v>159</v>
      </c>
      <c r="G93" s="68">
        <v>1425</v>
      </c>
      <c r="H93" s="68" t="s">
        <v>159</v>
      </c>
    </row>
    <row r="94" spans="1:8" ht="16.5" customHeight="1">
      <c r="A94" s="48" t="s">
        <v>499</v>
      </c>
      <c r="B94" s="48"/>
      <c r="C94" s="396" t="s">
        <v>500</v>
      </c>
      <c r="D94" s="396"/>
      <c r="E94" s="8">
        <v>1320</v>
      </c>
      <c r="F94" s="8" t="s">
        <v>159</v>
      </c>
      <c r="G94" s="10">
        <v>1425</v>
      </c>
      <c r="H94" s="10" t="s">
        <v>159</v>
      </c>
    </row>
    <row r="95" spans="1:8" ht="16.5" customHeight="1">
      <c r="A95" s="48" t="s">
        <v>592</v>
      </c>
      <c r="B95" s="48"/>
      <c r="C95" s="394" t="s">
        <v>593</v>
      </c>
      <c r="D95" s="395"/>
      <c r="E95" s="68">
        <v>672</v>
      </c>
      <c r="F95" s="68" t="s">
        <v>159</v>
      </c>
      <c r="G95" s="68">
        <v>704</v>
      </c>
      <c r="H95" s="68" t="s">
        <v>159</v>
      </c>
    </row>
    <row r="96" spans="1:8" ht="16.5" customHeight="1">
      <c r="A96" s="48" t="s">
        <v>409</v>
      </c>
      <c r="B96" s="48" t="s">
        <v>410</v>
      </c>
      <c r="C96" s="396" t="s">
        <v>383</v>
      </c>
      <c r="D96" s="396"/>
      <c r="E96" s="8">
        <v>1177</v>
      </c>
      <c r="F96" s="8">
        <v>1334</v>
      </c>
      <c r="G96" s="10">
        <v>1282</v>
      </c>
      <c r="H96" s="10">
        <v>1464</v>
      </c>
    </row>
    <row r="97" spans="1:8" ht="16.5" customHeight="1">
      <c r="A97" s="48" t="s">
        <v>411</v>
      </c>
      <c r="B97" s="48"/>
      <c r="C97" s="402" t="s">
        <v>384</v>
      </c>
      <c r="D97" s="402"/>
      <c r="E97" s="67">
        <v>2140</v>
      </c>
      <c r="F97" s="67" t="s">
        <v>159</v>
      </c>
      <c r="G97" s="67">
        <v>2244</v>
      </c>
      <c r="H97" s="67" t="s">
        <v>159</v>
      </c>
    </row>
    <row r="98" spans="1:8" ht="16.5" customHeight="1">
      <c r="A98" s="48" t="s">
        <v>412</v>
      </c>
      <c r="B98" s="48"/>
      <c r="C98" s="396" t="s">
        <v>385</v>
      </c>
      <c r="D98" s="396"/>
      <c r="E98" s="8">
        <v>2140</v>
      </c>
      <c r="F98" s="8" t="s">
        <v>159</v>
      </c>
      <c r="G98" s="10">
        <v>2244</v>
      </c>
      <c r="H98" s="10" t="s">
        <v>159</v>
      </c>
    </row>
    <row r="99" spans="1:8" ht="16.5" customHeight="1">
      <c r="A99" s="48" t="s">
        <v>594</v>
      </c>
      <c r="B99" s="48"/>
      <c r="C99" s="394" t="s">
        <v>595</v>
      </c>
      <c r="D99" s="395"/>
      <c r="E99" s="68">
        <v>576</v>
      </c>
      <c r="F99" s="68" t="s">
        <v>159</v>
      </c>
      <c r="G99" s="68">
        <v>597</v>
      </c>
      <c r="H99" s="68" t="s">
        <v>159</v>
      </c>
    </row>
    <row r="100" spans="1:8" ht="16.5" customHeight="1">
      <c r="A100" s="48" t="s">
        <v>501</v>
      </c>
      <c r="B100" s="48" t="s">
        <v>502</v>
      </c>
      <c r="C100" s="396" t="s">
        <v>503</v>
      </c>
      <c r="D100" s="396"/>
      <c r="E100" s="8">
        <v>803</v>
      </c>
      <c r="F100" s="8">
        <v>960</v>
      </c>
      <c r="G100" s="10">
        <v>908</v>
      </c>
      <c r="H100" s="10">
        <v>1090</v>
      </c>
    </row>
    <row r="101" spans="1:8" ht="16.5" customHeight="1">
      <c r="A101" s="48" t="s">
        <v>504</v>
      </c>
      <c r="B101" s="48"/>
      <c r="C101" s="394" t="s">
        <v>505</v>
      </c>
      <c r="D101" s="395"/>
      <c r="E101" s="68">
        <v>1667</v>
      </c>
      <c r="F101" s="68" t="s">
        <v>159</v>
      </c>
      <c r="G101" s="68">
        <v>1771</v>
      </c>
      <c r="H101" s="68" t="s">
        <v>159</v>
      </c>
    </row>
    <row r="102" spans="1:8" ht="16.5" customHeight="1">
      <c r="A102" s="48" t="s">
        <v>506</v>
      </c>
      <c r="B102" s="48"/>
      <c r="C102" s="396" t="s">
        <v>507</v>
      </c>
      <c r="D102" s="396"/>
      <c r="E102" s="8">
        <v>1667</v>
      </c>
      <c r="F102" s="8" t="s">
        <v>159</v>
      </c>
      <c r="G102" s="10">
        <v>1771</v>
      </c>
      <c r="H102" s="10" t="s">
        <v>159</v>
      </c>
    </row>
    <row r="103" spans="1:8" ht="16.5" customHeight="1">
      <c r="A103" s="48" t="s">
        <v>596</v>
      </c>
      <c r="B103" s="48"/>
      <c r="C103" s="394" t="s">
        <v>597</v>
      </c>
      <c r="D103" s="395"/>
      <c r="E103" s="68">
        <v>193</v>
      </c>
      <c r="F103" s="68" t="s">
        <v>159</v>
      </c>
      <c r="G103" s="68">
        <v>193</v>
      </c>
      <c r="H103" s="68" t="s">
        <v>159</v>
      </c>
    </row>
    <row r="104" spans="1:8" ht="16.5" customHeight="1">
      <c r="A104" s="48" t="s">
        <v>508</v>
      </c>
      <c r="B104" s="48" t="s">
        <v>509</v>
      </c>
      <c r="C104" s="396" t="s">
        <v>510</v>
      </c>
      <c r="D104" s="396"/>
      <c r="E104" s="8">
        <v>702</v>
      </c>
      <c r="F104" s="8">
        <v>858</v>
      </c>
      <c r="G104" s="10">
        <v>806</v>
      </c>
      <c r="H104" s="10">
        <v>989</v>
      </c>
    </row>
    <row r="105" spans="1:8" ht="16.5" customHeight="1">
      <c r="A105" s="48" t="s">
        <v>511</v>
      </c>
      <c r="B105" s="48" t="s">
        <v>512</v>
      </c>
      <c r="C105" s="394" t="s">
        <v>513</v>
      </c>
      <c r="D105" s="395"/>
      <c r="E105" s="68">
        <v>1048</v>
      </c>
      <c r="F105" s="68">
        <v>792</v>
      </c>
      <c r="G105" s="68">
        <v>1153</v>
      </c>
      <c r="H105" s="68">
        <v>923</v>
      </c>
    </row>
    <row r="106" spans="1:8" ht="16.5" customHeight="1">
      <c r="A106" s="48" t="s">
        <v>598</v>
      </c>
      <c r="B106" s="48"/>
      <c r="C106" s="396" t="s">
        <v>599</v>
      </c>
      <c r="D106" s="396"/>
      <c r="E106" s="8">
        <v>574</v>
      </c>
      <c r="F106" s="8" t="s">
        <v>159</v>
      </c>
      <c r="G106" s="10">
        <v>595</v>
      </c>
      <c r="H106" s="10" t="s">
        <v>159</v>
      </c>
    </row>
    <row r="107" spans="1:8" ht="16.5" customHeight="1">
      <c r="A107" s="48" t="s">
        <v>514</v>
      </c>
      <c r="B107" s="48" t="s">
        <v>515</v>
      </c>
      <c r="C107" s="394" t="s">
        <v>516</v>
      </c>
      <c r="D107" s="395"/>
      <c r="E107" s="68">
        <v>1322</v>
      </c>
      <c r="F107" s="68">
        <v>1707</v>
      </c>
      <c r="G107" s="68">
        <v>1427</v>
      </c>
      <c r="H107" s="68">
        <v>1838</v>
      </c>
    </row>
    <row r="108" spans="1:8" ht="16.5" customHeight="1">
      <c r="A108" s="48" t="s">
        <v>392</v>
      </c>
      <c r="B108" s="50" t="s">
        <v>393</v>
      </c>
      <c r="C108" s="396" t="s">
        <v>372</v>
      </c>
      <c r="D108" s="396"/>
      <c r="E108" s="8">
        <v>696</v>
      </c>
      <c r="F108" s="8">
        <v>853</v>
      </c>
      <c r="G108" s="10">
        <v>801</v>
      </c>
      <c r="H108" s="10">
        <v>983</v>
      </c>
    </row>
    <row r="109" spans="1:8" ht="16.5" customHeight="1">
      <c r="A109" s="48" t="s">
        <v>748</v>
      </c>
      <c r="B109" s="48" t="s">
        <v>749</v>
      </c>
      <c r="C109" s="394" t="s">
        <v>747</v>
      </c>
      <c r="D109" s="395"/>
      <c r="E109" s="68">
        <v>1092</v>
      </c>
      <c r="F109" s="68">
        <v>1477</v>
      </c>
      <c r="G109" s="68">
        <v>1197</v>
      </c>
      <c r="H109" s="68">
        <v>1608</v>
      </c>
    </row>
    <row r="110" spans="1:8" ht="16.5" customHeight="1">
      <c r="A110" s="48" t="s">
        <v>394</v>
      </c>
      <c r="B110" s="48"/>
      <c r="C110" s="416" t="s">
        <v>373</v>
      </c>
      <c r="D110" s="417"/>
      <c r="E110" s="8">
        <v>1403</v>
      </c>
      <c r="F110" s="8" t="s">
        <v>159</v>
      </c>
      <c r="G110" s="10">
        <v>1507</v>
      </c>
      <c r="H110" s="10" t="s">
        <v>159</v>
      </c>
    </row>
    <row r="111" spans="1:8" ht="16.5" customHeight="1">
      <c r="A111" s="48" t="s">
        <v>600</v>
      </c>
      <c r="B111" s="50"/>
      <c r="C111" s="402" t="s">
        <v>601</v>
      </c>
      <c r="D111" s="402"/>
      <c r="E111" s="67">
        <v>337</v>
      </c>
      <c r="F111" s="67" t="s">
        <v>159</v>
      </c>
      <c r="G111" s="67">
        <v>352</v>
      </c>
      <c r="H111" s="67" t="s">
        <v>159</v>
      </c>
    </row>
    <row r="112" spans="1:8" ht="16.5" customHeight="1">
      <c r="A112" s="48" t="s">
        <v>517</v>
      </c>
      <c r="B112" s="48" t="s">
        <v>518</v>
      </c>
      <c r="C112" s="396" t="s">
        <v>519</v>
      </c>
      <c r="D112" s="396"/>
      <c r="E112" s="8">
        <v>757</v>
      </c>
      <c r="F112" s="8">
        <v>913</v>
      </c>
      <c r="G112" s="10">
        <v>861</v>
      </c>
      <c r="H112" s="10">
        <v>1044</v>
      </c>
    </row>
    <row r="113" spans="1:8" ht="16.5" customHeight="1">
      <c r="A113" s="48" t="s">
        <v>520</v>
      </c>
      <c r="B113" s="48"/>
      <c r="C113" s="394" t="s">
        <v>521</v>
      </c>
      <c r="D113" s="395"/>
      <c r="E113" s="68">
        <v>1466</v>
      </c>
      <c r="F113" s="68" t="s">
        <v>159</v>
      </c>
      <c r="G113" s="68">
        <v>1571</v>
      </c>
      <c r="H113" s="68" t="s">
        <v>159</v>
      </c>
    </row>
    <row r="114" spans="1:8" ht="16.5" customHeight="1">
      <c r="A114" s="48" t="s">
        <v>522</v>
      </c>
      <c r="B114" s="48"/>
      <c r="C114" s="396" t="s">
        <v>523</v>
      </c>
      <c r="D114" s="396"/>
      <c r="E114" s="8">
        <v>1466</v>
      </c>
      <c r="F114" s="8" t="s">
        <v>159</v>
      </c>
      <c r="G114" s="10">
        <v>1571</v>
      </c>
      <c r="H114" s="10" t="s">
        <v>159</v>
      </c>
    </row>
    <row r="115" spans="1:8" ht="16.5" customHeight="1">
      <c r="A115" s="48" t="s">
        <v>602</v>
      </c>
      <c r="B115" s="48"/>
      <c r="C115" s="394" t="s">
        <v>603</v>
      </c>
      <c r="D115" s="395"/>
      <c r="E115" s="68">
        <v>521</v>
      </c>
      <c r="F115" s="68" t="s">
        <v>159</v>
      </c>
      <c r="G115" s="68">
        <v>542</v>
      </c>
      <c r="H115" s="68" t="s">
        <v>159</v>
      </c>
    </row>
    <row r="116" spans="1:8" ht="16.5" customHeight="1">
      <c r="A116" s="48" t="s">
        <v>524</v>
      </c>
      <c r="B116" s="48" t="s">
        <v>525</v>
      </c>
      <c r="C116" s="396" t="s">
        <v>526</v>
      </c>
      <c r="D116" s="396"/>
      <c r="E116" s="8">
        <v>812</v>
      </c>
      <c r="F116" s="8">
        <v>968</v>
      </c>
      <c r="G116" s="10">
        <v>916</v>
      </c>
      <c r="H116" s="10">
        <v>1099</v>
      </c>
    </row>
    <row r="117" spans="1:8" ht="16.5" customHeight="1">
      <c r="A117" s="48" t="s">
        <v>527</v>
      </c>
      <c r="B117" s="48"/>
      <c r="C117" s="394" t="s">
        <v>528</v>
      </c>
      <c r="D117" s="395"/>
      <c r="E117" s="68">
        <v>1733</v>
      </c>
      <c r="F117" s="68" t="s">
        <v>159</v>
      </c>
      <c r="G117" s="68">
        <v>1837</v>
      </c>
      <c r="H117" s="68" t="s">
        <v>159</v>
      </c>
    </row>
    <row r="118" spans="1:8" ht="16.5" customHeight="1">
      <c r="A118" s="48" t="s">
        <v>529</v>
      </c>
      <c r="B118" s="48"/>
      <c r="C118" s="396" t="s">
        <v>530</v>
      </c>
      <c r="D118" s="396"/>
      <c r="E118" s="8">
        <v>1733</v>
      </c>
      <c r="F118" s="8" t="s">
        <v>159</v>
      </c>
      <c r="G118" s="10">
        <v>1837</v>
      </c>
      <c r="H118" s="10" t="s">
        <v>159</v>
      </c>
    </row>
    <row r="119" spans="1:8" ht="16.5" customHeight="1">
      <c r="A119" s="48" t="s">
        <v>604</v>
      </c>
      <c r="B119" s="48"/>
      <c r="C119" s="394" t="s">
        <v>605</v>
      </c>
      <c r="D119" s="395"/>
      <c r="E119" s="68">
        <v>637</v>
      </c>
      <c r="F119" s="68" t="s">
        <v>159</v>
      </c>
      <c r="G119" s="68">
        <v>684</v>
      </c>
      <c r="H119" s="68" t="s">
        <v>159</v>
      </c>
    </row>
    <row r="120" spans="1:8" ht="16.5" customHeight="1">
      <c r="A120" s="48" t="s">
        <v>531</v>
      </c>
      <c r="B120" s="48" t="s">
        <v>532</v>
      </c>
      <c r="C120" s="396" t="s">
        <v>533</v>
      </c>
      <c r="D120" s="396"/>
      <c r="E120" s="8">
        <v>743</v>
      </c>
      <c r="F120" s="8">
        <v>900</v>
      </c>
      <c r="G120" s="10">
        <v>847</v>
      </c>
      <c r="H120" s="10">
        <v>1030</v>
      </c>
    </row>
    <row r="121" spans="1:8" ht="16.5" customHeight="1">
      <c r="A121" s="48" t="s">
        <v>534</v>
      </c>
      <c r="B121" s="48" t="s">
        <v>535</v>
      </c>
      <c r="C121" s="394" t="s">
        <v>536</v>
      </c>
      <c r="D121" s="395"/>
      <c r="E121" s="68">
        <v>1378</v>
      </c>
      <c r="F121" s="68">
        <v>1535</v>
      </c>
      <c r="G121" s="68">
        <v>1483</v>
      </c>
      <c r="H121" s="68">
        <v>1665</v>
      </c>
    </row>
    <row r="122" spans="1:8" ht="16.5" customHeight="1">
      <c r="A122" s="48" t="s">
        <v>537</v>
      </c>
      <c r="B122" s="48" t="s">
        <v>538</v>
      </c>
      <c r="C122" s="396" t="s">
        <v>539</v>
      </c>
      <c r="D122" s="396"/>
      <c r="E122" s="8">
        <v>1378</v>
      </c>
      <c r="F122" s="8">
        <v>1535</v>
      </c>
      <c r="G122" s="10">
        <v>1483</v>
      </c>
      <c r="H122" s="10">
        <v>1665</v>
      </c>
    </row>
    <row r="123" spans="1:8" ht="16.5" customHeight="1">
      <c r="A123" s="48" t="s">
        <v>606</v>
      </c>
      <c r="B123" s="48"/>
      <c r="C123" s="394" t="s">
        <v>607</v>
      </c>
      <c r="D123" s="395"/>
      <c r="E123" s="68">
        <v>670</v>
      </c>
      <c r="F123" s="68" t="s">
        <v>159</v>
      </c>
      <c r="G123" s="68">
        <v>691</v>
      </c>
      <c r="H123" s="68" t="s">
        <v>159</v>
      </c>
    </row>
    <row r="124" spans="1:8" ht="16.5" customHeight="1">
      <c r="A124" s="48" t="s">
        <v>540</v>
      </c>
      <c r="B124" s="48" t="s">
        <v>541</v>
      </c>
      <c r="C124" s="396" t="s">
        <v>542</v>
      </c>
      <c r="D124" s="396"/>
      <c r="E124" s="8">
        <v>861</v>
      </c>
      <c r="F124" s="8">
        <v>1018</v>
      </c>
      <c r="G124" s="10">
        <v>966</v>
      </c>
      <c r="H124" s="10">
        <v>1148</v>
      </c>
    </row>
    <row r="125" spans="1:8" ht="16.5" customHeight="1">
      <c r="A125" s="48" t="s">
        <v>608</v>
      </c>
      <c r="B125" s="48"/>
      <c r="C125" s="402" t="s">
        <v>609</v>
      </c>
      <c r="D125" s="402"/>
      <c r="E125" s="67">
        <v>727</v>
      </c>
      <c r="F125" s="67" t="s">
        <v>159</v>
      </c>
      <c r="G125" s="67">
        <v>759</v>
      </c>
      <c r="H125" s="67" t="s">
        <v>159</v>
      </c>
    </row>
    <row r="126" spans="1:8" ht="16.5" customHeight="1">
      <c r="A126" s="48" t="s">
        <v>399</v>
      </c>
      <c r="B126" s="50" t="s">
        <v>400</v>
      </c>
      <c r="C126" s="396" t="s">
        <v>377</v>
      </c>
      <c r="D126" s="396"/>
      <c r="E126" s="8">
        <v>902</v>
      </c>
      <c r="F126" s="8">
        <v>1059</v>
      </c>
      <c r="G126" s="10">
        <v>1007</v>
      </c>
      <c r="H126" s="10">
        <v>1189</v>
      </c>
    </row>
    <row r="127" spans="1:8" ht="16.5" customHeight="1">
      <c r="A127" s="48" t="s">
        <v>401</v>
      </c>
      <c r="B127" s="48"/>
      <c r="C127" s="394" t="s">
        <v>378</v>
      </c>
      <c r="D127" s="395"/>
      <c r="E127" s="68">
        <v>1480</v>
      </c>
      <c r="F127" s="68" t="s">
        <v>159</v>
      </c>
      <c r="G127" s="68">
        <v>1584</v>
      </c>
      <c r="H127" s="68" t="s">
        <v>159</v>
      </c>
    </row>
    <row r="128" spans="1:8" ht="16.5" customHeight="1">
      <c r="A128" s="48" t="s">
        <v>402</v>
      </c>
      <c r="B128" s="50"/>
      <c r="C128" s="396" t="s">
        <v>379</v>
      </c>
      <c r="D128" s="396"/>
      <c r="E128" s="8">
        <v>1480</v>
      </c>
      <c r="F128" s="8" t="s">
        <v>159</v>
      </c>
      <c r="G128" s="10">
        <v>1584</v>
      </c>
      <c r="H128" s="10" t="s">
        <v>159</v>
      </c>
    </row>
    <row r="129" spans="1:8" ht="16.5" customHeight="1">
      <c r="A129" s="48" t="s">
        <v>610</v>
      </c>
      <c r="B129" s="50"/>
      <c r="C129" s="394" t="s">
        <v>611</v>
      </c>
      <c r="D129" s="395"/>
      <c r="E129" s="68">
        <v>342</v>
      </c>
      <c r="F129" s="68" t="s">
        <v>159</v>
      </c>
      <c r="G129" s="68">
        <v>374</v>
      </c>
      <c r="H129" s="68" t="s">
        <v>159</v>
      </c>
    </row>
    <row r="130" spans="1:8" ht="16.5" customHeight="1">
      <c r="A130" s="48" t="s">
        <v>403</v>
      </c>
      <c r="B130" s="48" t="s">
        <v>404</v>
      </c>
      <c r="C130" s="396" t="s">
        <v>380</v>
      </c>
      <c r="D130" s="396"/>
      <c r="E130" s="8">
        <v>902</v>
      </c>
      <c r="F130" s="8">
        <v>1059</v>
      </c>
      <c r="G130" s="10">
        <v>1007</v>
      </c>
      <c r="H130" s="10">
        <v>1189</v>
      </c>
    </row>
    <row r="131" spans="1:8" ht="16.5" customHeight="1">
      <c r="A131" s="48" t="s">
        <v>405</v>
      </c>
      <c r="B131" s="50" t="s">
        <v>406</v>
      </c>
      <c r="C131" s="394" t="s">
        <v>381</v>
      </c>
      <c r="D131" s="395"/>
      <c r="E131" s="68">
        <v>1480</v>
      </c>
      <c r="F131" s="68">
        <v>1609</v>
      </c>
      <c r="G131" s="68">
        <v>1584</v>
      </c>
      <c r="H131" s="68">
        <v>1739</v>
      </c>
    </row>
    <row r="132" spans="1:8" ht="16.5" customHeight="1">
      <c r="A132" s="48" t="s">
        <v>407</v>
      </c>
      <c r="B132" s="48" t="s">
        <v>408</v>
      </c>
      <c r="C132" s="396" t="s">
        <v>382</v>
      </c>
      <c r="D132" s="396"/>
      <c r="E132" s="8">
        <v>1480</v>
      </c>
      <c r="F132" s="8">
        <v>1609</v>
      </c>
      <c r="G132" s="10">
        <v>1584</v>
      </c>
      <c r="H132" s="10">
        <v>1739</v>
      </c>
    </row>
    <row r="133" spans="1:8" ht="16.5" customHeight="1">
      <c r="A133" s="48" t="s">
        <v>612</v>
      </c>
      <c r="B133" s="48"/>
      <c r="C133" s="394" t="s">
        <v>613</v>
      </c>
      <c r="D133" s="395"/>
      <c r="E133" s="68">
        <v>342</v>
      </c>
      <c r="F133" s="68" t="s">
        <v>159</v>
      </c>
      <c r="G133" s="68">
        <v>374</v>
      </c>
      <c r="H133" s="68" t="s">
        <v>159</v>
      </c>
    </row>
    <row r="134" spans="1:8" ht="16.5" customHeight="1">
      <c r="A134" s="48" t="s">
        <v>395</v>
      </c>
      <c r="B134" s="50" t="s">
        <v>396</v>
      </c>
      <c r="C134" s="396" t="s">
        <v>374</v>
      </c>
      <c r="D134" s="396"/>
      <c r="E134" s="8">
        <v>902</v>
      </c>
      <c r="F134" s="8">
        <v>1059</v>
      </c>
      <c r="G134" s="10">
        <v>1007</v>
      </c>
      <c r="H134" s="10">
        <v>1189</v>
      </c>
    </row>
    <row r="135" spans="1:8" ht="16.5" customHeight="1">
      <c r="A135" s="48" t="s">
        <v>397</v>
      </c>
      <c r="B135" s="48"/>
      <c r="C135" s="394" t="s">
        <v>375</v>
      </c>
      <c r="D135" s="395"/>
      <c r="E135" s="68">
        <v>1480</v>
      </c>
      <c r="F135" s="68" t="s">
        <v>159</v>
      </c>
      <c r="G135" s="68">
        <v>1584</v>
      </c>
      <c r="H135" s="68" t="s">
        <v>159</v>
      </c>
    </row>
    <row r="136" spans="1:8" ht="16.5" customHeight="1">
      <c r="A136" s="48" t="s">
        <v>398</v>
      </c>
      <c r="B136" s="50"/>
      <c r="C136" s="396" t="s">
        <v>376</v>
      </c>
      <c r="D136" s="396"/>
      <c r="E136" s="8">
        <v>1480</v>
      </c>
      <c r="F136" s="8" t="s">
        <v>159</v>
      </c>
      <c r="G136" s="10">
        <v>1584</v>
      </c>
      <c r="H136" s="10" t="s">
        <v>159</v>
      </c>
    </row>
    <row r="137" spans="1:8" ht="16.5" customHeight="1">
      <c r="A137" s="48" t="s">
        <v>614</v>
      </c>
      <c r="B137" s="50"/>
      <c r="C137" s="394" t="s">
        <v>615</v>
      </c>
      <c r="D137" s="395"/>
      <c r="E137" s="68">
        <v>342</v>
      </c>
      <c r="F137" s="68" t="s">
        <v>159</v>
      </c>
      <c r="G137" s="68">
        <v>374</v>
      </c>
      <c r="H137" s="68" t="s">
        <v>159</v>
      </c>
    </row>
    <row r="138" spans="1:8" ht="16.5" customHeight="1">
      <c r="A138" s="48" t="s">
        <v>732</v>
      </c>
      <c r="B138" s="50" t="s">
        <v>733</v>
      </c>
      <c r="C138" s="396" t="s">
        <v>734</v>
      </c>
      <c r="D138" s="396"/>
      <c r="E138" s="8">
        <v>688</v>
      </c>
      <c r="F138" s="8">
        <v>845</v>
      </c>
      <c r="G138" s="10">
        <v>792</v>
      </c>
      <c r="H138" s="10">
        <v>977</v>
      </c>
    </row>
    <row r="139" spans="1:8" ht="16.5" customHeight="1">
      <c r="A139" s="48" t="s">
        <v>543</v>
      </c>
      <c r="B139" s="50"/>
      <c r="C139" s="402" t="s">
        <v>544</v>
      </c>
      <c r="D139" s="402"/>
      <c r="E139" s="67">
        <v>1186</v>
      </c>
      <c r="F139" s="67" t="s">
        <v>159</v>
      </c>
      <c r="G139" s="67">
        <v>1290</v>
      </c>
      <c r="H139" s="67" t="s">
        <v>159</v>
      </c>
    </row>
    <row r="140" spans="1:8" ht="16.5" customHeight="1">
      <c r="A140" s="48" t="s">
        <v>545</v>
      </c>
      <c r="B140" s="50"/>
      <c r="C140" s="396" t="s">
        <v>546</v>
      </c>
      <c r="D140" s="396"/>
      <c r="E140" s="8">
        <v>1186</v>
      </c>
      <c r="F140" s="8" t="s">
        <v>159</v>
      </c>
      <c r="G140" s="10">
        <v>1290</v>
      </c>
      <c r="H140" s="10" t="s">
        <v>159</v>
      </c>
    </row>
    <row r="141" spans="1:8" ht="16.5" customHeight="1">
      <c r="A141" s="48" t="s">
        <v>616</v>
      </c>
      <c r="B141" s="50"/>
      <c r="C141" s="394" t="s">
        <v>617</v>
      </c>
      <c r="D141" s="395"/>
      <c r="E141" s="68">
        <v>512</v>
      </c>
      <c r="F141" s="68" t="s">
        <v>159</v>
      </c>
      <c r="G141" s="68">
        <v>538</v>
      </c>
      <c r="H141" s="68" t="s">
        <v>159</v>
      </c>
    </row>
    <row r="142" spans="1:8" ht="16.5" customHeight="1">
      <c r="A142" s="48" t="s">
        <v>547</v>
      </c>
      <c r="B142" s="50" t="s">
        <v>548</v>
      </c>
      <c r="C142" s="396" t="s">
        <v>549</v>
      </c>
      <c r="D142" s="396"/>
      <c r="E142" s="8">
        <v>1394</v>
      </c>
      <c r="F142" s="8">
        <v>1553</v>
      </c>
      <c r="G142" s="10">
        <v>1466</v>
      </c>
      <c r="H142" s="10">
        <v>1319</v>
      </c>
    </row>
    <row r="143" spans="1:8" ht="16.5" customHeight="1">
      <c r="A143" s="48" t="s">
        <v>618</v>
      </c>
      <c r="B143" s="50"/>
      <c r="C143" s="394" t="s">
        <v>619</v>
      </c>
      <c r="D143" s="395"/>
      <c r="E143" s="68">
        <v>915</v>
      </c>
      <c r="F143" s="68" t="s">
        <v>159</v>
      </c>
      <c r="G143" s="68">
        <v>1139</v>
      </c>
      <c r="H143" s="68" t="s">
        <v>159</v>
      </c>
    </row>
    <row r="144" spans="1:8" ht="16.5" customHeight="1">
      <c r="A144" s="48" t="s">
        <v>550</v>
      </c>
      <c r="B144" s="50" t="s">
        <v>551</v>
      </c>
      <c r="C144" s="396" t="s">
        <v>552</v>
      </c>
      <c r="D144" s="396"/>
      <c r="E144" s="8">
        <v>803</v>
      </c>
      <c r="F144" s="8">
        <v>960</v>
      </c>
      <c r="G144" s="10">
        <v>908</v>
      </c>
      <c r="H144" s="10">
        <v>1090</v>
      </c>
    </row>
    <row r="145" spans="1:8" ht="16.5" customHeight="1">
      <c r="A145" s="48" t="s">
        <v>553</v>
      </c>
      <c r="B145" s="50" t="s">
        <v>554</v>
      </c>
      <c r="C145" s="394" t="s">
        <v>555</v>
      </c>
      <c r="D145" s="395"/>
      <c r="E145" s="68">
        <v>1032</v>
      </c>
      <c r="F145" s="68">
        <v>1188</v>
      </c>
      <c r="G145" s="68">
        <v>1136</v>
      </c>
      <c r="H145" s="68">
        <v>1319</v>
      </c>
    </row>
    <row r="146" spans="1:8" ht="16.5" customHeight="1">
      <c r="A146" s="48" t="s">
        <v>620</v>
      </c>
      <c r="B146" s="50"/>
      <c r="C146" s="396" t="s">
        <v>621</v>
      </c>
      <c r="D146" s="396"/>
      <c r="E146" s="8">
        <v>615</v>
      </c>
      <c r="F146" s="8" t="s">
        <v>159</v>
      </c>
      <c r="G146" s="10">
        <v>636</v>
      </c>
      <c r="H146" s="10" t="s">
        <v>159</v>
      </c>
    </row>
    <row r="147" spans="1:8" ht="16.5" customHeight="1">
      <c r="A147" s="48" t="s">
        <v>386</v>
      </c>
      <c r="B147" s="48" t="s">
        <v>387</v>
      </c>
      <c r="C147" s="394" t="s">
        <v>557</v>
      </c>
      <c r="D147" s="395"/>
      <c r="E147" s="68">
        <v>902</v>
      </c>
      <c r="F147" s="68">
        <v>1059</v>
      </c>
      <c r="G147" s="68">
        <v>1007</v>
      </c>
      <c r="H147" s="68">
        <v>1189</v>
      </c>
    </row>
    <row r="148" spans="1:8" ht="16.5" customHeight="1">
      <c r="A148" s="48" t="s">
        <v>735</v>
      </c>
      <c r="B148" s="50" t="s">
        <v>736</v>
      </c>
      <c r="C148" s="396" t="s">
        <v>556</v>
      </c>
      <c r="D148" s="396"/>
      <c r="E148" s="8">
        <v>1146</v>
      </c>
      <c r="F148" s="8">
        <v>1289</v>
      </c>
      <c r="G148" s="10">
        <v>1251</v>
      </c>
      <c r="H148" s="10">
        <v>1419</v>
      </c>
    </row>
    <row r="149" spans="1:8" ht="16.5" customHeight="1">
      <c r="A149" s="48" t="s">
        <v>558</v>
      </c>
      <c r="B149" s="48" t="s">
        <v>559</v>
      </c>
      <c r="C149" s="394" t="s">
        <v>560</v>
      </c>
      <c r="D149" s="395"/>
      <c r="E149" s="68">
        <v>1236</v>
      </c>
      <c r="F149" s="68">
        <v>1335</v>
      </c>
      <c r="G149" s="68">
        <v>1320</v>
      </c>
      <c r="H149" s="68">
        <v>1419</v>
      </c>
    </row>
    <row r="150" spans="1:8" ht="16.5" customHeight="1">
      <c r="A150" s="48" t="s">
        <v>561</v>
      </c>
      <c r="B150" s="48" t="s">
        <v>562</v>
      </c>
      <c r="C150" s="396" t="s">
        <v>563</v>
      </c>
      <c r="D150" s="396"/>
      <c r="E150" s="8">
        <v>1236</v>
      </c>
      <c r="F150" s="8">
        <v>1335</v>
      </c>
      <c r="G150" s="10">
        <v>1320</v>
      </c>
      <c r="H150" s="10">
        <v>1419</v>
      </c>
    </row>
    <row r="151" spans="1:8" ht="16.5" customHeight="1">
      <c r="A151" s="48" t="s">
        <v>622</v>
      </c>
      <c r="B151" s="48"/>
      <c r="C151" s="402" t="s">
        <v>623</v>
      </c>
      <c r="D151" s="402"/>
      <c r="E151" s="67">
        <v>519</v>
      </c>
      <c r="F151" s="67" t="s">
        <v>159</v>
      </c>
      <c r="G151" s="67">
        <v>540</v>
      </c>
      <c r="H151" s="67" t="s">
        <v>159</v>
      </c>
    </row>
    <row r="152" spans="1:8" ht="16.5" customHeight="1">
      <c r="A152" s="48" t="s">
        <v>564</v>
      </c>
      <c r="B152" s="48" t="s">
        <v>565</v>
      </c>
      <c r="C152" s="396" t="s">
        <v>566</v>
      </c>
      <c r="D152" s="396"/>
      <c r="E152" s="8">
        <v>578</v>
      </c>
      <c r="F152" s="8">
        <v>735</v>
      </c>
      <c r="G152" s="10">
        <v>682</v>
      </c>
      <c r="H152" s="10">
        <v>865</v>
      </c>
    </row>
    <row r="153" spans="1:8" ht="16.5" customHeight="1">
      <c r="A153" s="48" t="s">
        <v>567</v>
      </c>
      <c r="B153" s="48" t="s">
        <v>568</v>
      </c>
      <c r="C153" s="394" t="s">
        <v>569</v>
      </c>
      <c r="D153" s="395"/>
      <c r="E153" s="68">
        <v>1692</v>
      </c>
      <c r="F153" s="68">
        <v>1848</v>
      </c>
      <c r="G153" s="68">
        <v>1796</v>
      </c>
      <c r="H153" s="68">
        <v>1979</v>
      </c>
    </row>
    <row r="154" spans="1:8" ht="16.5" customHeight="1">
      <c r="A154" s="48" t="s">
        <v>570</v>
      </c>
      <c r="B154" s="48" t="s">
        <v>571</v>
      </c>
      <c r="C154" s="396" t="s">
        <v>572</v>
      </c>
      <c r="D154" s="396"/>
      <c r="E154" s="8">
        <v>1692</v>
      </c>
      <c r="F154" s="8">
        <v>1848</v>
      </c>
      <c r="G154" s="10">
        <v>1796</v>
      </c>
      <c r="H154" s="10">
        <v>1979</v>
      </c>
    </row>
    <row r="155" spans="1:8" ht="16.5" customHeight="1">
      <c r="A155" s="48" t="s">
        <v>624</v>
      </c>
      <c r="B155" s="48"/>
      <c r="C155" s="394" t="s">
        <v>625</v>
      </c>
      <c r="D155" s="395"/>
      <c r="E155" s="68">
        <v>454</v>
      </c>
      <c r="F155" s="68" t="s">
        <v>159</v>
      </c>
      <c r="G155" s="68">
        <v>470</v>
      </c>
      <c r="H155" s="68" t="s">
        <v>159</v>
      </c>
    </row>
    <row r="156" spans="1:8" ht="16.5" customHeight="1">
      <c r="A156" s="48" t="s">
        <v>573</v>
      </c>
      <c r="B156" s="48" t="s">
        <v>574</v>
      </c>
      <c r="C156" s="396" t="s">
        <v>575</v>
      </c>
      <c r="D156" s="396"/>
      <c r="E156" s="8">
        <v>1081</v>
      </c>
      <c r="F156" s="8">
        <v>990</v>
      </c>
      <c r="G156" s="10">
        <v>1186</v>
      </c>
      <c r="H156" s="10">
        <v>1368</v>
      </c>
    </row>
    <row r="157" spans="1:8" ht="16.5" customHeight="1">
      <c r="A157" s="48" t="s">
        <v>626</v>
      </c>
      <c r="B157" s="48"/>
      <c r="C157" s="394" t="s">
        <v>627</v>
      </c>
      <c r="D157" s="395"/>
      <c r="E157" s="68">
        <v>631</v>
      </c>
      <c r="F157" s="68" t="s">
        <v>159</v>
      </c>
      <c r="G157" s="68">
        <v>805</v>
      </c>
      <c r="H157" s="68" t="s">
        <v>159</v>
      </c>
    </row>
    <row r="158" spans="1:8" ht="16.5" customHeight="1">
      <c r="A158" s="48" t="s">
        <v>576</v>
      </c>
      <c r="B158" s="48" t="s">
        <v>577</v>
      </c>
      <c r="C158" s="396" t="s">
        <v>578</v>
      </c>
      <c r="D158" s="396"/>
      <c r="E158" s="8">
        <v>861</v>
      </c>
      <c r="F158" s="8">
        <v>1018</v>
      </c>
      <c r="G158" s="10">
        <v>966</v>
      </c>
      <c r="H158" s="10">
        <v>1148</v>
      </c>
    </row>
    <row r="159" spans="1:8" ht="16.5" customHeight="1">
      <c r="A159" s="48" t="s">
        <v>579</v>
      </c>
      <c r="B159" s="48" t="s">
        <v>580</v>
      </c>
      <c r="C159" s="394" t="s">
        <v>581</v>
      </c>
      <c r="D159" s="395"/>
      <c r="E159" s="68">
        <v>1087</v>
      </c>
      <c r="F159" s="68">
        <v>1243</v>
      </c>
      <c r="G159" s="68">
        <v>1191</v>
      </c>
      <c r="H159" s="68">
        <v>1374</v>
      </c>
    </row>
    <row r="160" spans="1:8" ht="16.5" customHeight="1">
      <c r="A160" s="48" t="s">
        <v>628</v>
      </c>
      <c r="B160" s="48"/>
      <c r="C160" s="396" t="s">
        <v>629</v>
      </c>
      <c r="D160" s="396"/>
      <c r="E160" s="8">
        <v>740</v>
      </c>
      <c r="F160" s="8" t="s">
        <v>159</v>
      </c>
      <c r="G160" s="10">
        <v>782</v>
      </c>
      <c r="H160" s="10" t="s">
        <v>159</v>
      </c>
    </row>
    <row r="161" spans="1:8" ht="16.5" customHeight="1">
      <c r="A161" s="48" t="s">
        <v>582</v>
      </c>
      <c r="B161" s="48" t="s">
        <v>583</v>
      </c>
      <c r="C161" s="394" t="s">
        <v>584</v>
      </c>
      <c r="D161" s="395"/>
      <c r="E161" s="68">
        <v>915</v>
      </c>
      <c r="F161" s="68">
        <v>1041</v>
      </c>
      <c r="G161" s="68">
        <v>999</v>
      </c>
      <c r="H161" s="68">
        <v>1145</v>
      </c>
    </row>
    <row r="162" spans="1:8" ht="16.5" customHeight="1">
      <c r="A162" s="48" t="s">
        <v>630</v>
      </c>
      <c r="B162" s="48"/>
      <c r="C162" s="396" t="s">
        <v>631</v>
      </c>
      <c r="D162" s="396"/>
      <c r="E162" s="8">
        <v>506</v>
      </c>
      <c r="F162" s="8" t="s">
        <v>159</v>
      </c>
      <c r="G162" s="10">
        <v>516</v>
      </c>
      <c r="H162" s="10" t="s">
        <v>159</v>
      </c>
    </row>
    <row r="163" spans="1:8" ht="16.5" customHeight="1">
      <c r="A163" s="48" t="s">
        <v>739</v>
      </c>
      <c r="B163" s="48"/>
      <c r="C163" s="394" t="s">
        <v>585</v>
      </c>
      <c r="D163" s="395"/>
      <c r="E163" s="68">
        <v>5320</v>
      </c>
      <c r="F163" s="68" t="s">
        <v>159</v>
      </c>
      <c r="G163" s="68">
        <v>5612</v>
      </c>
      <c r="H163" s="68" t="s">
        <v>159</v>
      </c>
    </row>
    <row r="164" spans="1:8" ht="16.5" customHeight="1">
      <c r="A164" s="48" t="s">
        <v>388</v>
      </c>
      <c r="B164" s="48" t="s">
        <v>389</v>
      </c>
      <c r="C164" s="396" t="s">
        <v>369</v>
      </c>
      <c r="D164" s="396"/>
      <c r="E164" s="8">
        <v>902</v>
      </c>
      <c r="F164" s="8">
        <v>1059</v>
      </c>
      <c r="G164" s="10">
        <v>1007</v>
      </c>
      <c r="H164" s="10">
        <v>1190</v>
      </c>
    </row>
    <row r="165" spans="1:8" ht="16.5" customHeight="1">
      <c r="A165" s="48" t="s">
        <v>390</v>
      </c>
      <c r="B165" s="50"/>
      <c r="C165" s="402" t="s">
        <v>370</v>
      </c>
      <c r="D165" s="402"/>
      <c r="E165" s="67">
        <v>1480</v>
      </c>
      <c r="F165" s="67" t="s">
        <v>159</v>
      </c>
      <c r="G165" s="67">
        <v>1584</v>
      </c>
      <c r="H165" s="67" t="s">
        <v>159</v>
      </c>
    </row>
    <row r="166" spans="1:8" ht="16.5" customHeight="1">
      <c r="A166" s="48" t="s">
        <v>391</v>
      </c>
      <c r="B166" s="48"/>
      <c r="C166" s="396" t="s">
        <v>371</v>
      </c>
      <c r="D166" s="396"/>
      <c r="E166" s="8">
        <v>1480</v>
      </c>
      <c r="F166" s="8" t="s">
        <v>159</v>
      </c>
      <c r="G166" s="10">
        <v>1584</v>
      </c>
      <c r="H166" s="10" t="s">
        <v>159</v>
      </c>
    </row>
    <row r="167" spans="1:8" ht="16.5" customHeight="1">
      <c r="A167" s="48" t="s">
        <v>632</v>
      </c>
      <c r="B167" s="48"/>
      <c r="C167" s="394" t="s">
        <v>633</v>
      </c>
      <c r="D167" s="395"/>
      <c r="E167" s="68">
        <v>355</v>
      </c>
      <c r="F167" s="68" t="s">
        <v>159</v>
      </c>
      <c r="G167" s="68">
        <v>397</v>
      </c>
      <c r="H167" s="68" t="s">
        <v>159</v>
      </c>
    </row>
    <row r="168" spans="1:8" ht="16.5" customHeight="1">
      <c r="A168" s="46"/>
      <c r="B168" s="46"/>
      <c r="C168" s="401" t="s">
        <v>444</v>
      </c>
      <c r="D168" s="401"/>
      <c r="E168" s="401"/>
      <c r="F168" s="401"/>
      <c r="G168" s="401"/>
      <c r="H168" s="401"/>
    </row>
    <row r="169" spans="1:8" ht="16.5" customHeight="1">
      <c r="A169" s="383"/>
      <c r="B169" s="384"/>
      <c r="C169" s="389" t="s">
        <v>97</v>
      </c>
      <c r="D169" s="389"/>
      <c r="E169" s="389" t="s">
        <v>442</v>
      </c>
      <c r="F169" s="389"/>
      <c r="G169" s="390" t="s">
        <v>443</v>
      </c>
      <c r="H169" s="390"/>
    </row>
    <row r="170" spans="1:8" ht="16.5" customHeight="1">
      <c r="A170" s="385"/>
      <c r="B170" s="386"/>
      <c r="C170" s="389"/>
      <c r="D170" s="389"/>
      <c r="E170" s="7" t="s">
        <v>132</v>
      </c>
      <c r="F170" s="7" t="s">
        <v>133</v>
      </c>
      <c r="G170" s="9" t="s">
        <v>132</v>
      </c>
      <c r="H170" s="9" t="s">
        <v>133</v>
      </c>
    </row>
    <row r="171" spans="1:8" ht="16.5" customHeight="1">
      <c r="A171" s="387"/>
      <c r="B171" s="388"/>
      <c r="C171" s="389"/>
      <c r="D171" s="389"/>
      <c r="E171" s="391" t="s">
        <v>157</v>
      </c>
      <c r="F171" s="392"/>
      <c r="G171" s="392"/>
      <c r="H171" s="393"/>
    </row>
    <row r="172" spans="1:8" ht="16.5" customHeight="1">
      <c r="A172" s="48" t="s">
        <v>634</v>
      </c>
      <c r="B172" s="48" t="s">
        <v>635</v>
      </c>
      <c r="C172" s="402" t="s">
        <v>479</v>
      </c>
      <c r="D172" s="402"/>
      <c r="E172" s="67">
        <v>1136</v>
      </c>
      <c r="F172" s="67">
        <v>1320</v>
      </c>
      <c r="G172" s="67">
        <v>1307</v>
      </c>
      <c r="H172" s="67">
        <v>1533</v>
      </c>
    </row>
    <row r="173" spans="1:8" ht="16.5" customHeight="1">
      <c r="A173" s="48" t="s">
        <v>636</v>
      </c>
      <c r="B173" s="48" t="s">
        <v>637</v>
      </c>
      <c r="C173" s="396" t="s">
        <v>482</v>
      </c>
      <c r="D173" s="396"/>
      <c r="E173" s="8">
        <v>1540</v>
      </c>
      <c r="F173" s="8">
        <v>1725</v>
      </c>
      <c r="G173" s="10">
        <v>1711</v>
      </c>
      <c r="H173" s="10">
        <v>1937</v>
      </c>
    </row>
    <row r="174" spans="1:8" ht="16.5" customHeight="1">
      <c r="A174" s="48" t="s">
        <v>701</v>
      </c>
      <c r="B174" s="48"/>
      <c r="C174" s="394" t="s">
        <v>587</v>
      </c>
      <c r="D174" s="395"/>
      <c r="E174" s="68">
        <v>913</v>
      </c>
      <c r="F174" s="68" t="s">
        <v>159</v>
      </c>
      <c r="G174" s="68">
        <v>956</v>
      </c>
      <c r="H174" s="68" t="s">
        <v>159</v>
      </c>
    </row>
    <row r="175" spans="1:8" ht="16.5" customHeight="1">
      <c r="A175" s="48" t="s">
        <v>638</v>
      </c>
      <c r="B175" s="48" t="s">
        <v>639</v>
      </c>
      <c r="C175" s="396" t="s">
        <v>485</v>
      </c>
      <c r="D175" s="396"/>
      <c r="E175" s="8">
        <v>1081</v>
      </c>
      <c r="F175" s="8">
        <v>1265</v>
      </c>
      <c r="G175" s="10">
        <v>1252</v>
      </c>
      <c r="H175" s="10">
        <v>1478</v>
      </c>
    </row>
    <row r="176" spans="1:8" ht="16.5" customHeight="1">
      <c r="A176" s="48" t="s">
        <v>640</v>
      </c>
      <c r="B176" s="48"/>
      <c r="C176" s="394" t="s">
        <v>487</v>
      </c>
      <c r="D176" s="395"/>
      <c r="E176" s="68">
        <v>1499</v>
      </c>
      <c r="F176" s="68" t="s">
        <v>159</v>
      </c>
      <c r="G176" s="68">
        <v>1670</v>
      </c>
      <c r="H176" s="68" t="s">
        <v>159</v>
      </c>
    </row>
    <row r="177" spans="1:8" ht="16.5" customHeight="1">
      <c r="A177" s="48" t="s">
        <v>702</v>
      </c>
      <c r="B177" s="48"/>
      <c r="C177" s="396" t="s">
        <v>589</v>
      </c>
      <c r="D177" s="396"/>
      <c r="E177" s="8">
        <v>834</v>
      </c>
      <c r="F177" s="8" t="s">
        <v>159</v>
      </c>
      <c r="G177" s="10">
        <v>859</v>
      </c>
      <c r="H177" s="10" t="s">
        <v>159</v>
      </c>
    </row>
    <row r="178" spans="1:8" ht="16.5" customHeight="1">
      <c r="A178" s="48" t="s">
        <v>641</v>
      </c>
      <c r="B178" s="48" t="s">
        <v>642</v>
      </c>
      <c r="C178" s="394" t="s">
        <v>490</v>
      </c>
      <c r="D178" s="395"/>
      <c r="E178" s="68">
        <v>736</v>
      </c>
      <c r="F178" s="68">
        <v>1155</v>
      </c>
      <c r="G178" s="68">
        <v>1142</v>
      </c>
      <c r="H178" s="68">
        <v>1368</v>
      </c>
    </row>
    <row r="179" spans="1:8" ht="16.5" customHeight="1">
      <c r="A179" s="48" t="s">
        <v>643</v>
      </c>
      <c r="B179" s="48" t="s">
        <v>644</v>
      </c>
      <c r="C179" s="396" t="s">
        <v>493</v>
      </c>
      <c r="D179" s="396"/>
      <c r="E179" s="8">
        <v>1158</v>
      </c>
      <c r="F179" s="8">
        <v>1342</v>
      </c>
      <c r="G179" s="10">
        <v>1329</v>
      </c>
      <c r="H179" s="10">
        <v>1555</v>
      </c>
    </row>
    <row r="180" spans="1:8" ht="16.5" customHeight="1">
      <c r="A180" s="48" t="s">
        <v>703</v>
      </c>
      <c r="B180" s="48"/>
      <c r="C180" s="394" t="s">
        <v>591</v>
      </c>
      <c r="D180" s="395"/>
      <c r="E180" s="68">
        <v>736</v>
      </c>
      <c r="F180" s="68" t="s">
        <v>159</v>
      </c>
      <c r="G180" s="68">
        <v>770</v>
      </c>
      <c r="H180" s="68" t="s">
        <v>159</v>
      </c>
    </row>
    <row r="181" spans="1:8" ht="16.5" customHeight="1">
      <c r="A181" s="48" t="s">
        <v>645</v>
      </c>
      <c r="B181" s="48" t="s">
        <v>646</v>
      </c>
      <c r="C181" s="396" t="s">
        <v>496</v>
      </c>
      <c r="D181" s="396"/>
      <c r="E181" s="8">
        <v>911</v>
      </c>
      <c r="F181" s="8">
        <v>1095</v>
      </c>
      <c r="G181" s="10">
        <v>1081</v>
      </c>
      <c r="H181" s="10">
        <v>1308</v>
      </c>
    </row>
    <row r="182" spans="1:8" ht="16.5" customHeight="1">
      <c r="A182" s="48" t="s">
        <v>647</v>
      </c>
      <c r="B182" s="48"/>
      <c r="C182" s="394" t="s">
        <v>498</v>
      </c>
      <c r="D182" s="395"/>
      <c r="E182" s="68">
        <v>1430</v>
      </c>
      <c r="F182" s="68" t="s">
        <v>159</v>
      </c>
      <c r="G182" s="68">
        <v>1601</v>
      </c>
      <c r="H182" s="68" t="s">
        <v>159</v>
      </c>
    </row>
    <row r="183" spans="1:8" ht="16.5" customHeight="1">
      <c r="A183" s="48" t="s">
        <v>648</v>
      </c>
      <c r="B183" s="48"/>
      <c r="C183" s="396" t="s">
        <v>500</v>
      </c>
      <c r="D183" s="396"/>
      <c r="E183" s="8">
        <v>1430</v>
      </c>
      <c r="F183" s="8" t="s">
        <v>159</v>
      </c>
      <c r="G183" s="10">
        <v>1601</v>
      </c>
      <c r="H183" s="10" t="s">
        <v>159</v>
      </c>
    </row>
    <row r="184" spans="1:8" ht="16.5" customHeight="1">
      <c r="A184" s="48" t="s">
        <v>704</v>
      </c>
      <c r="B184" s="48"/>
      <c r="C184" s="394" t="s">
        <v>593</v>
      </c>
      <c r="D184" s="395"/>
      <c r="E184" s="68">
        <v>705</v>
      </c>
      <c r="F184" s="68" t="s">
        <v>159</v>
      </c>
      <c r="G184" s="68">
        <v>757</v>
      </c>
      <c r="H184" s="68" t="s">
        <v>159</v>
      </c>
    </row>
    <row r="185" spans="1:8" ht="16.5" customHeight="1">
      <c r="A185" s="48" t="s">
        <v>436</v>
      </c>
      <c r="B185" s="48" t="s">
        <v>437</v>
      </c>
      <c r="C185" s="396" t="s">
        <v>383</v>
      </c>
      <c r="D185" s="396"/>
      <c r="E185" s="8">
        <v>1287</v>
      </c>
      <c r="F185" s="8">
        <v>1472</v>
      </c>
      <c r="G185" s="10">
        <v>1458</v>
      </c>
      <c r="H185" s="10">
        <v>1684</v>
      </c>
    </row>
    <row r="186" spans="1:8" ht="16.5" customHeight="1">
      <c r="A186" s="48" t="s">
        <v>438</v>
      </c>
      <c r="B186" s="48"/>
      <c r="C186" s="402" t="s">
        <v>384</v>
      </c>
      <c r="D186" s="402"/>
      <c r="E186" s="67">
        <v>2250</v>
      </c>
      <c r="F186" s="67" t="s">
        <v>159</v>
      </c>
      <c r="G186" s="67">
        <v>2420</v>
      </c>
      <c r="H186" s="67" t="s">
        <v>159</v>
      </c>
    </row>
    <row r="187" spans="1:8" ht="16.5" customHeight="1">
      <c r="A187" s="48" t="s">
        <v>439</v>
      </c>
      <c r="B187" s="48"/>
      <c r="C187" s="396" t="s">
        <v>385</v>
      </c>
      <c r="D187" s="396"/>
      <c r="E187" s="8">
        <v>2250</v>
      </c>
      <c r="F187" s="8" t="s">
        <v>159</v>
      </c>
      <c r="G187" s="10">
        <v>2420</v>
      </c>
      <c r="H187" s="10" t="s">
        <v>159</v>
      </c>
    </row>
    <row r="188" spans="1:8" ht="16.5" customHeight="1">
      <c r="A188" s="48" t="s">
        <v>705</v>
      </c>
      <c r="B188" s="48"/>
      <c r="C188" s="394" t="s">
        <v>595</v>
      </c>
      <c r="D188" s="395"/>
      <c r="E188" s="68">
        <v>598</v>
      </c>
      <c r="F188" s="68" t="s">
        <v>159</v>
      </c>
      <c r="G188" s="68">
        <v>633</v>
      </c>
      <c r="H188" s="68" t="s">
        <v>159</v>
      </c>
    </row>
    <row r="189" spans="1:8" ht="16.5" customHeight="1">
      <c r="A189" s="48" t="s">
        <v>649</v>
      </c>
      <c r="B189" s="48" t="s">
        <v>650</v>
      </c>
      <c r="C189" s="396" t="s">
        <v>503</v>
      </c>
      <c r="D189" s="396"/>
      <c r="E189" s="8">
        <v>913</v>
      </c>
      <c r="F189" s="8">
        <v>1098</v>
      </c>
      <c r="G189" s="10">
        <v>1084</v>
      </c>
      <c r="H189" s="10">
        <v>1310</v>
      </c>
    </row>
    <row r="190" spans="1:8" ht="16.5" customHeight="1">
      <c r="A190" s="48" t="s">
        <v>651</v>
      </c>
      <c r="B190" s="48"/>
      <c r="C190" s="394" t="s">
        <v>505</v>
      </c>
      <c r="D190" s="395"/>
      <c r="E190" s="68">
        <v>1777</v>
      </c>
      <c r="F190" s="68" t="s">
        <v>159</v>
      </c>
      <c r="G190" s="68">
        <v>1947</v>
      </c>
      <c r="H190" s="68" t="s">
        <v>159</v>
      </c>
    </row>
    <row r="191" spans="1:8" ht="16.5" customHeight="1">
      <c r="A191" s="48" t="s">
        <v>652</v>
      </c>
      <c r="B191" s="48"/>
      <c r="C191" s="396" t="s">
        <v>507</v>
      </c>
      <c r="D191" s="396"/>
      <c r="E191" s="8">
        <v>1777</v>
      </c>
      <c r="F191" s="8" t="s">
        <v>159</v>
      </c>
      <c r="G191" s="10">
        <v>1947</v>
      </c>
      <c r="H191" s="10" t="s">
        <v>159</v>
      </c>
    </row>
    <row r="192" spans="1:8" ht="16.5" customHeight="1">
      <c r="A192" s="48" t="s">
        <v>706</v>
      </c>
      <c r="B192" s="48"/>
      <c r="C192" s="394" t="s">
        <v>597</v>
      </c>
      <c r="D192" s="395"/>
      <c r="E192" s="68">
        <v>193</v>
      </c>
      <c r="F192" s="68" t="s">
        <v>159</v>
      </c>
      <c r="G192" s="68">
        <v>193</v>
      </c>
      <c r="H192" s="68" t="s">
        <v>159</v>
      </c>
    </row>
    <row r="193" spans="1:8" ht="16.5" customHeight="1">
      <c r="A193" s="48" t="s">
        <v>653</v>
      </c>
      <c r="B193" s="48" t="s">
        <v>654</v>
      </c>
      <c r="C193" s="396" t="s">
        <v>510</v>
      </c>
      <c r="D193" s="396"/>
      <c r="E193" s="8">
        <v>812</v>
      </c>
      <c r="F193" s="8">
        <v>996</v>
      </c>
      <c r="G193" s="10">
        <v>982</v>
      </c>
      <c r="H193" s="10">
        <v>1209</v>
      </c>
    </row>
    <row r="194" spans="1:8" ht="16.5" customHeight="1">
      <c r="A194" s="48" t="s">
        <v>655</v>
      </c>
      <c r="B194" s="48" t="s">
        <v>656</v>
      </c>
      <c r="C194" s="394" t="s">
        <v>513</v>
      </c>
      <c r="D194" s="395"/>
      <c r="E194" s="68">
        <v>1158</v>
      </c>
      <c r="F194" s="68">
        <v>930</v>
      </c>
      <c r="G194" s="68">
        <v>1329</v>
      </c>
      <c r="H194" s="68">
        <v>1143</v>
      </c>
    </row>
    <row r="195" spans="1:8" ht="16.5" customHeight="1">
      <c r="A195" s="48" t="s">
        <v>707</v>
      </c>
      <c r="B195" s="48"/>
      <c r="C195" s="396" t="s">
        <v>599</v>
      </c>
      <c r="D195" s="396"/>
      <c r="E195" s="8">
        <v>596</v>
      </c>
      <c r="F195" s="8" t="s">
        <v>159</v>
      </c>
      <c r="G195" s="10">
        <v>630</v>
      </c>
      <c r="H195" s="10" t="s">
        <v>159</v>
      </c>
    </row>
    <row r="196" spans="1:8" ht="16.5" customHeight="1">
      <c r="A196" s="48" t="s">
        <v>657</v>
      </c>
      <c r="B196" s="48" t="s">
        <v>658</v>
      </c>
      <c r="C196" s="394" t="s">
        <v>516</v>
      </c>
      <c r="D196" s="395"/>
      <c r="E196" s="68">
        <v>1432</v>
      </c>
      <c r="F196" s="68">
        <v>1845</v>
      </c>
      <c r="G196" s="68">
        <v>1603</v>
      </c>
      <c r="H196" s="68">
        <v>2058</v>
      </c>
    </row>
    <row r="197" spans="1:8" ht="16.5" customHeight="1">
      <c r="A197" s="48" t="s">
        <v>419</v>
      </c>
      <c r="B197" s="50" t="s">
        <v>420</v>
      </c>
      <c r="C197" s="396" t="s">
        <v>372</v>
      </c>
      <c r="D197" s="396"/>
      <c r="E197" s="8">
        <v>806</v>
      </c>
      <c r="F197" s="8">
        <v>990</v>
      </c>
      <c r="G197" s="10">
        <v>977</v>
      </c>
      <c r="H197" s="10">
        <v>1203</v>
      </c>
    </row>
    <row r="198" spans="1:8" ht="16.5" customHeight="1">
      <c r="A198" s="48" t="s">
        <v>750</v>
      </c>
      <c r="B198" s="48" t="s">
        <v>751</v>
      </c>
      <c r="C198" s="394" t="s">
        <v>747</v>
      </c>
      <c r="D198" s="395"/>
      <c r="E198" s="68">
        <v>1202</v>
      </c>
      <c r="F198" s="68">
        <v>1615</v>
      </c>
      <c r="G198" s="68">
        <v>1373</v>
      </c>
      <c r="H198" s="68">
        <v>1828</v>
      </c>
    </row>
    <row r="199" spans="1:8" ht="16.5" customHeight="1">
      <c r="A199" s="48" t="s">
        <v>421</v>
      </c>
      <c r="B199" s="48"/>
      <c r="C199" s="416" t="s">
        <v>373</v>
      </c>
      <c r="D199" s="417"/>
      <c r="E199" s="8">
        <v>1513</v>
      </c>
      <c r="F199" s="8" t="s">
        <v>159</v>
      </c>
      <c r="G199" s="10">
        <v>1683</v>
      </c>
      <c r="H199" s="10" t="s">
        <v>159</v>
      </c>
    </row>
    <row r="200" spans="1:8" ht="16.5" customHeight="1">
      <c r="A200" s="48" t="s">
        <v>708</v>
      </c>
      <c r="B200" s="50"/>
      <c r="C200" s="402" t="s">
        <v>601</v>
      </c>
      <c r="D200" s="402"/>
      <c r="E200" s="67">
        <v>353</v>
      </c>
      <c r="F200" s="67" t="s">
        <v>159</v>
      </c>
      <c r="G200" s="67">
        <v>378</v>
      </c>
      <c r="H200" s="67" t="s">
        <v>159</v>
      </c>
    </row>
    <row r="201" spans="1:8" ht="16.5" customHeight="1">
      <c r="A201" s="48" t="s">
        <v>659</v>
      </c>
      <c r="B201" s="48" t="s">
        <v>660</v>
      </c>
      <c r="C201" s="396" t="s">
        <v>519</v>
      </c>
      <c r="D201" s="396"/>
      <c r="E201" s="8">
        <v>867</v>
      </c>
      <c r="F201" s="8">
        <v>1051</v>
      </c>
      <c r="G201" s="10">
        <v>1037</v>
      </c>
      <c r="H201" s="10">
        <v>1264</v>
      </c>
    </row>
    <row r="202" spans="1:8" ht="16.5" customHeight="1">
      <c r="A202" s="48" t="s">
        <v>661</v>
      </c>
      <c r="B202" s="48"/>
      <c r="C202" s="394" t="s">
        <v>521</v>
      </c>
      <c r="D202" s="395"/>
      <c r="E202" s="68">
        <v>1576</v>
      </c>
      <c r="F202" s="68" t="s">
        <v>159</v>
      </c>
      <c r="G202" s="68">
        <v>1747</v>
      </c>
      <c r="H202" s="68" t="s">
        <v>159</v>
      </c>
    </row>
    <row r="203" spans="1:8" ht="16.5" customHeight="1">
      <c r="A203" s="48" t="s">
        <v>662</v>
      </c>
      <c r="B203" s="48"/>
      <c r="C203" s="396" t="s">
        <v>523</v>
      </c>
      <c r="D203" s="396"/>
      <c r="E203" s="8">
        <v>1576</v>
      </c>
      <c r="F203" s="8" t="s">
        <v>159</v>
      </c>
      <c r="G203" s="10">
        <v>1747</v>
      </c>
      <c r="H203" s="10" t="s">
        <v>159</v>
      </c>
    </row>
    <row r="204" spans="1:8" ht="16.5" customHeight="1">
      <c r="A204" s="48" t="s">
        <v>709</v>
      </c>
      <c r="B204" s="48"/>
      <c r="C204" s="394" t="s">
        <v>603</v>
      </c>
      <c r="D204" s="395"/>
      <c r="E204" s="68">
        <v>543</v>
      </c>
      <c r="F204" s="68" t="s">
        <v>159</v>
      </c>
      <c r="G204" s="68">
        <v>578</v>
      </c>
      <c r="H204" s="68" t="s">
        <v>159</v>
      </c>
    </row>
    <row r="205" spans="1:8" ht="16.5" customHeight="1">
      <c r="A205" s="48" t="s">
        <v>663</v>
      </c>
      <c r="B205" s="48" t="s">
        <v>664</v>
      </c>
      <c r="C205" s="396" t="s">
        <v>526</v>
      </c>
      <c r="D205" s="396"/>
      <c r="E205" s="8">
        <v>922</v>
      </c>
      <c r="F205" s="8">
        <v>1106</v>
      </c>
      <c r="G205" s="10">
        <v>1092</v>
      </c>
      <c r="H205" s="10">
        <v>1319</v>
      </c>
    </row>
    <row r="206" spans="1:8" ht="16.5" customHeight="1">
      <c r="A206" s="48" t="s">
        <v>665</v>
      </c>
      <c r="B206" s="48"/>
      <c r="C206" s="394" t="s">
        <v>528</v>
      </c>
      <c r="D206" s="395"/>
      <c r="E206" s="68">
        <v>1843</v>
      </c>
      <c r="F206" s="68" t="s">
        <v>159</v>
      </c>
      <c r="G206" s="68">
        <v>2013</v>
      </c>
      <c r="H206" s="68" t="s">
        <v>159</v>
      </c>
    </row>
    <row r="207" spans="1:8" ht="16.5" customHeight="1">
      <c r="A207" s="48" t="s">
        <v>666</v>
      </c>
      <c r="B207" s="48"/>
      <c r="C207" s="396" t="s">
        <v>530</v>
      </c>
      <c r="D207" s="396"/>
      <c r="E207" s="8">
        <v>1843</v>
      </c>
      <c r="F207" s="8" t="s">
        <v>159</v>
      </c>
      <c r="G207" s="10">
        <v>2013</v>
      </c>
      <c r="H207" s="10" t="s">
        <v>159</v>
      </c>
    </row>
    <row r="208" spans="1:8" ht="16.5" customHeight="1">
      <c r="A208" s="48" t="s">
        <v>710</v>
      </c>
      <c r="B208" s="48"/>
      <c r="C208" s="394" t="s">
        <v>605</v>
      </c>
      <c r="D208" s="395"/>
      <c r="E208" s="68">
        <v>686</v>
      </c>
      <c r="F208" s="68" t="s">
        <v>159</v>
      </c>
      <c r="G208" s="68">
        <v>763</v>
      </c>
      <c r="H208" s="68" t="s">
        <v>159</v>
      </c>
    </row>
    <row r="209" spans="1:8" ht="16.5" customHeight="1">
      <c r="A209" s="48" t="s">
        <v>667</v>
      </c>
      <c r="B209" s="48" t="s">
        <v>668</v>
      </c>
      <c r="C209" s="396" t="s">
        <v>533</v>
      </c>
      <c r="D209" s="396"/>
      <c r="E209" s="8">
        <v>853</v>
      </c>
      <c r="F209" s="8">
        <v>1037</v>
      </c>
      <c r="G209" s="10">
        <v>1023</v>
      </c>
      <c r="H209" s="10">
        <v>1250</v>
      </c>
    </row>
    <row r="210" spans="1:8" ht="16.5" customHeight="1">
      <c r="A210" s="48" t="s">
        <v>669</v>
      </c>
      <c r="B210" s="48" t="s">
        <v>670</v>
      </c>
      <c r="C210" s="394" t="s">
        <v>536</v>
      </c>
      <c r="D210" s="395"/>
      <c r="E210" s="68">
        <v>1488</v>
      </c>
      <c r="F210" s="68">
        <v>1672</v>
      </c>
      <c r="G210" s="68">
        <v>1659</v>
      </c>
      <c r="H210" s="68">
        <v>1885</v>
      </c>
    </row>
    <row r="211" spans="1:8" ht="16.5" customHeight="1">
      <c r="A211" s="48" t="s">
        <v>671</v>
      </c>
      <c r="B211" s="48" t="s">
        <v>672</v>
      </c>
      <c r="C211" s="396" t="s">
        <v>539</v>
      </c>
      <c r="D211" s="396"/>
      <c r="E211" s="8">
        <v>1488</v>
      </c>
      <c r="F211" s="8">
        <v>1672</v>
      </c>
      <c r="G211" s="10">
        <v>1659</v>
      </c>
      <c r="H211" s="10">
        <v>1885</v>
      </c>
    </row>
    <row r="212" spans="1:8" ht="16.5" customHeight="1">
      <c r="A212" s="48" t="s">
        <v>711</v>
      </c>
      <c r="B212" s="48"/>
      <c r="C212" s="394" t="s">
        <v>607</v>
      </c>
      <c r="D212" s="395"/>
      <c r="E212" s="68">
        <v>692</v>
      </c>
      <c r="F212" s="68" t="s">
        <v>159</v>
      </c>
      <c r="G212" s="68">
        <v>726</v>
      </c>
      <c r="H212" s="68" t="s">
        <v>159</v>
      </c>
    </row>
    <row r="213" spans="1:8" ht="16.5" customHeight="1">
      <c r="A213" s="48" t="s">
        <v>673</v>
      </c>
      <c r="B213" s="48" t="s">
        <v>674</v>
      </c>
      <c r="C213" s="396" t="s">
        <v>542</v>
      </c>
      <c r="D213" s="396"/>
      <c r="E213" s="8">
        <v>971</v>
      </c>
      <c r="F213" s="8">
        <v>1155</v>
      </c>
      <c r="G213" s="10">
        <v>1142</v>
      </c>
      <c r="H213" s="10">
        <v>1368</v>
      </c>
    </row>
    <row r="214" spans="1:8" ht="16.5" customHeight="1">
      <c r="A214" s="48" t="s">
        <v>712</v>
      </c>
      <c r="B214" s="48"/>
      <c r="C214" s="402" t="s">
        <v>609</v>
      </c>
      <c r="D214" s="402"/>
      <c r="E214" s="67">
        <v>760</v>
      </c>
      <c r="F214" s="67" t="s">
        <v>159</v>
      </c>
      <c r="G214" s="67">
        <v>812</v>
      </c>
      <c r="H214" s="67" t="s">
        <v>159</v>
      </c>
    </row>
    <row r="215" spans="1:8" ht="16.5" customHeight="1">
      <c r="A215" s="48" t="s">
        <v>426</v>
      </c>
      <c r="B215" s="50" t="s">
        <v>427</v>
      </c>
      <c r="C215" s="396" t="s">
        <v>377</v>
      </c>
      <c r="D215" s="396"/>
      <c r="E215" s="8">
        <v>1012</v>
      </c>
      <c r="F215" s="8">
        <v>1197</v>
      </c>
      <c r="G215" s="10">
        <v>1183</v>
      </c>
      <c r="H215" s="10">
        <v>1409</v>
      </c>
    </row>
    <row r="216" spans="1:8" ht="16.5" customHeight="1">
      <c r="A216" s="48" t="s">
        <v>428</v>
      </c>
      <c r="B216" s="48"/>
      <c r="C216" s="394" t="s">
        <v>378</v>
      </c>
      <c r="D216" s="395"/>
      <c r="E216" s="68">
        <v>1590</v>
      </c>
      <c r="F216" s="68" t="s">
        <v>159</v>
      </c>
      <c r="G216" s="68">
        <v>1760</v>
      </c>
      <c r="H216" s="68" t="s">
        <v>159</v>
      </c>
    </row>
    <row r="217" spans="1:8" ht="16.5" customHeight="1">
      <c r="A217" s="48" t="s">
        <v>429</v>
      </c>
      <c r="B217" s="50"/>
      <c r="C217" s="396" t="s">
        <v>379</v>
      </c>
      <c r="D217" s="396"/>
      <c r="E217" s="8">
        <v>1590</v>
      </c>
      <c r="F217" s="8" t="s">
        <v>159</v>
      </c>
      <c r="G217" s="10">
        <v>1760</v>
      </c>
      <c r="H217" s="10" t="s">
        <v>159</v>
      </c>
    </row>
    <row r="218" spans="1:8" ht="16.5" customHeight="1">
      <c r="A218" s="48" t="s">
        <v>713</v>
      </c>
      <c r="B218" s="50"/>
      <c r="C218" s="394" t="s">
        <v>611</v>
      </c>
      <c r="D218" s="395"/>
      <c r="E218" s="68">
        <v>375</v>
      </c>
      <c r="F218" s="68" t="s">
        <v>159</v>
      </c>
      <c r="G218" s="68">
        <v>427</v>
      </c>
      <c r="H218" s="68" t="s">
        <v>159</v>
      </c>
    </row>
    <row r="219" spans="1:8" ht="16.5" customHeight="1">
      <c r="A219" s="48" t="s">
        <v>430</v>
      </c>
      <c r="B219" s="48" t="s">
        <v>431</v>
      </c>
      <c r="C219" s="396" t="s">
        <v>380</v>
      </c>
      <c r="D219" s="396"/>
      <c r="E219" s="8">
        <v>1012</v>
      </c>
      <c r="F219" s="8">
        <v>1197</v>
      </c>
      <c r="G219" s="10">
        <v>1183</v>
      </c>
      <c r="H219" s="10">
        <v>1409</v>
      </c>
    </row>
    <row r="220" spans="1:8" ht="16.5" customHeight="1">
      <c r="A220" s="48" t="s">
        <v>432</v>
      </c>
      <c r="B220" s="50" t="s">
        <v>433</v>
      </c>
      <c r="C220" s="394" t="s">
        <v>381</v>
      </c>
      <c r="D220" s="395"/>
      <c r="E220" s="68">
        <v>1590</v>
      </c>
      <c r="F220" s="68">
        <v>1747</v>
      </c>
      <c r="G220" s="68">
        <v>1760</v>
      </c>
      <c r="H220" s="68">
        <v>1959</v>
      </c>
    </row>
    <row r="221" spans="1:8" ht="16.5" customHeight="1">
      <c r="A221" s="48" t="s">
        <v>434</v>
      </c>
      <c r="B221" s="48" t="s">
        <v>435</v>
      </c>
      <c r="C221" s="396" t="s">
        <v>382</v>
      </c>
      <c r="D221" s="396"/>
      <c r="E221" s="8">
        <v>1590</v>
      </c>
      <c r="F221" s="8">
        <v>1747</v>
      </c>
      <c r="G221" s="10">
        <v>1760</v>
      </c>
      <c r="H221" s="10">
        <v>1959</v>
      </c>
    </row>
    <row r="222" spans="1:8" ht="16.5" customHeight="1">
      <c r="A222" s="48" t="s">
        <v>714</v>
      </c>
      <c r="B222" s="48"/>
      <c r="C222" s="394" t="s">
        <v>613</v>
      </c>
      <c r="D222" s="395"/>
      <c r="E222" s="68">
        <v>375</v>
      </c>
      <c r="F222" s="68" t="s">
        <v>159</v>
      </c>
      <c r="G222" s="68">
        <v>427</v>
      </c>
      <c r="H222" s="68" t="s">
        <v>159</v>
      </c>
    </row>
    <row r="223" spans="1:8" ht="16.5" customHeight="1">
      <c r="A223" s="48" t="s">
        <v>422</v>
      </c>
      <c r="B223" s="50" t="s">
        <v>423</v>
      </c>
      <c r="C223" s="396" t="s">
        <v>374</v>
      </c>
      <c r="D223" s="396"/>
      <c r="E223" s="8">
        <v>1012</v>
      </c>
      <c r="F223" s="8">
        <v>1197</v>
      </c>
      <c r="G223" s="10">
        <v>1183</v>
      </c>
      <c r="H223" s="10">
        <v>1409</v>
      </c>
    </row>
    <row r="224" spans="1:8" ht="16.5" customHeight="1">
      <c r="A224" s="48" t="s">
        <v>424</v>
      </c>
      <c r="B224" s="48"/>
      <c r="C224" s="394" t="s">
        <v>375</v>
      </c>
      <c r="D224" s="395"/>
      <c r="E224" s="68">
        <v>1590</v>
      </c>
      <c r="F224" s="68" t="s">
        <v>159</v>
      </c>
      <c r="G224" s="68">
        <v>1760</v>
      </c>
      <c r="H224" s="68" t="s">
        <v>159</v>
      </c>
    </row>
    <row r="225" spans="1:8" ht="16.5" customHeight="1">
      <c r="A225" s="48" t="s">
        <v>425</v>
      </c>
      <c r="B225" s="50"/>
      <c r="C225" s="396" t="s">
        <v>376</v>
      </c>
      <c r="D225" s="396"/>
      <c r="E225" s="8">
        <v>1590</v>
      </c>
      <c r="F225" s="8" t="s">
        <v>159</v>
      </c>
      <c r="G225" s="10">
        <v>1760</v>
      </c>
      <c r="H225" s="10" t="s">
        <v>159</v>
      </c>
    </row>
    <row r="226" spans="1:8" ht="16.5" customHeight="1">
      <c r="A226" s="48" t="s">
        <v>715</v>
      </c>
      <c r="B226" s="50"/>
      <c r="C226" s="394" t="s">
        <v>615</v>
      </c>
      <c r="D226" s="395"/>
      <c r="E226" s="68">
        <v>375</v>
      </c>
      <c r="F226" s="68" t="s">
        <v>159</v>
      </c>
      <c r="G226" s="68">
        <v>427</v>
      </c>
      <c r="H226" s="68" t="s">
        <v>159</v>
      </c>
    </row>
    <row r="227" spans="1:8" ht="16.5" customHeight="1">
      <c r="A227" s="48" t="s">
        <v>737</v>
      </c>
      <c r="B227" s="50" t="s">
        <v>738</v>
      </c>
      <c r="C227" s="396" t="s">
        <v>734</v>
      </c>
      <c r="D227" s="396"/>
      <c r="E227" s="8">
        <v>798</v>
      </c>
      <c r="F227" s="8">
        <v>982</v>
      </c>
      <c r="G227" s="10">
        <v>968</v>
      </c>
      <c r="H227" s="10">
        <v>1195</v>
      </c>
    </row>
    <row r="228" spans="1:8" ht="16.5" customHeight="1">
      <c r="A228" s="48" t="s">
        <v>675</v>
      </c>
      <c r="B228" s="50"/>
      <c r="C228" s="402" t="s">
        <v>544</v>
      </c>
      <c r="D228" s="402"/>
      <c r="E228" s="67">
        <v>1296</v>
      </c>
      <c r="F228" s="67" t="s">
        <v>159</v>
      </c>
      <c r="G228" s="67">
        <v>1466</v>
      </c>
      <c r="H228" s="67" t="s">
        <v>159</v>
      </c>
    </row>
    <row r="229" spans="1:8" ht="16.5" customHeight="1">
      <c r="A229" s="48" t="s">
        <v>676</v>
      </c>
      <c r="B229" s="50"/>
      <c r="C229" s="396" t="s">
        <v>546</v>
      </c>
      <c r="D229" s="396"/>
      <c r="E229" s="8">
        <v>1296</v>
      </c>
      <c r="F229" s="8" t="s">
        <v>159</v>
      </c>
      <c r="G229" s="10">
        <v>1466</v>
      </c>
      <c r="H229" s="10" t="s">
        <v>159</v>
      </c>
    </row>
    <row r="230" spans="1:8" ht="16.5" customHeight="1">
      <c r="A230" s="48" t="s">
        <v>716</v>
      </c>
      <c r="B230" s="50"/>
      <c r="C230" s="394" t="s">
        <v>617</v>
      </c>
      <c r="D230" s="395"/>
      <c r="E230" s="68">
        <v>539</v>
      </c>
      <c r="F230" s="68" t="s">
        <v>159</v>
      </c>
      <c r="G230" s="68">
        <v>582</v>
      </c>
      <c r="H230" s="68" t="s">
        <v>159</v>
      </c>
    </row>
    <row r="231" spans="1:8" ht="16.5" customHeight="1">
      <c r="A231" s="48" t="s">
        <v>677</v>
      </c>
      <c r="B231" s="50" t="s">
        <v>678</v>
      </c>
      <c r="C231" s="396" t="s">
        <v>549</v>
      </c>
      <c r="D231" s="396"/>
      <c r="E231" s="8">
        <v>1472</v>
      </c>
      <c r="F231" s="8">
        <v>1659</v>
      </c>
      <c r="G231" s="10">
        <v>1642</v>
      </c>
      <c r="H231" s="10">
        <v>1869</v>
      </c>
    </row>
    <row r="232" spans="1:8" ht="16.5" customHeight="1">
      <c r="A232" s="48" t="s">
        <v>717</v>
      </c>
      <c r="B232" s="50"/>
      <c r="C232" s="394" t="s">
        <v>619</v>
      </c>
      <c r="D232" s="395"/>
      <c r="E232" s="68">
        <v>1145</v>
      </c>
      <c r="F232" s="68" t="s">
        <v>159</v>
      </c>
      <c r="G232" s="68">
        <v>1197</v>
      </c>
      <c r="H232" s="68" t="s">
        <v>159</v>
      </c>
    </row>
    <row r="233" spans="1:8" ht="16.5" customHeight="1">
      <c r="A233" s="48" t="s">
        <v>679</v>
      </c>
      <c r="B233" s="50" t="s">
        <v>680</v>
      </c>
      <c r="C233" s="396" t="s">
        <v>552</v>
      </c>
      <c r="D233" s="396"/>
      <c r="E233" s="8">
        <v>913</v>
      </c>
      <c r="F233" s="8">
        <v>1098</v>
      </c>
      <c r="G233" s="10">
        <v>1084</v>
      </c>
      <c r="H233" s="10">
        <v>1310</v>
      </c>
    </row>
    <row r="234" spans="1:8" ht="16.5" customHeight="1">
      <c r="A234" s="48" t="s">
        <v>681</v>
      </c>
      <c r="B234" s="50" t="s">
        <v>682</v>
      </c>
      <c r="C234" s="394" t="s">
        <v>555</v>
      </c>
      <c r="D234" s="395"/>
      <c r="E234" s="68">
        <v>1142</v>
      </c>
      <c r="F234" s="68">
        <v>1326</v>
      </c>
      <c r="G234" s="68">
        <v>1312</v>
      </c>
      <c r="H234" s="68">
        <v>1539</v>
      </c>
    </row>
    <row r="235" spans="1:8" ht="16.5" customHeight="1">
      <c r="A235" s="48" t="s">
        <v>718</v>
      </c>
      <c r="B235" s="50"/>
      <c r="C235" s="396" t="s">
        <v>621</v>
      </c>
      <c r="D235" s="396"/>
      <c r="E235" s="8">
        <v>637</v>
      </c>
      <c r="F235" s="8" t="s">
        <v>159</v>
      </c>
      <c r="G235" s="10">
        <v>671</v>
      </c>
      <c r="H235" s="10" t="s">
        <v>159</v>
      </c>
    </row>
    <row r="236" spans="1:8" ht="16.5" customHeight="1">
      <c r="A236" s="48" t="s">
        <v>413</v>
      </c>
      <c r="B236" s="48" t="s">
        <v>414</v>
      </c>
      <c r="C236" s="394" t="s">
        <v>557</v>
      </c>
      <c r="D236" s="395"/>
      <c r="E236" s="68">
        <v>1012</v>
      </c>
      <c r="F236" s="68">
        <v>1197</v>
      </c>
      <c r="G236" s="68">
        <v>1183</v>
      </c>
      <c r="H236" s="68">
        <v>1409</v>
      </c>
    </row>
    <row r="237" spans="1:8" ht="16.5" customHeight="1">
      <c r="A237" s="48" t="s">
        <v>730</v>
      </c>
      <c r="B237" s="50" t="s">
        <v>731</v>
      </c>
      <c r="C237" s="396" t="s">
        <v>556</v>
      </c>
      <c r="D237" s="396"/>
      <c r="E237" s="8">
        <v>1256</v>
      </c>
      <c r="F237" s="8">
        <v>1427</v>
      </c>
      <c r="G237" s="10">
        <v>1427</v>
      </c>
      <c r="H237" s="10">
        <v>1639</v>
      </c>
    </row>
    <row r="238" spans="1:8" ht="16.5" customHeight="1">
      <c r="A238" s="48" t="s">
        <v>683</v>
      </c>
      <c r="B238" s="48" t="s">
        <v>684</v>
      </c>
      <c r="C238" s="394" t="s">
        <v>560</v>
      </c>
      <c r="D238" s="395"/>
      <c r="E238" s="68">
        <v>1324</v>
      </c>
      <c r="F238" s="68">
        <v>1423</v>
      </c>
      <c r="G238" s="68">
        <v>1461</v>
      </c>
      <c r="H238" s="68">
        <v>1560</v>
      </c>
    </row>
    <row r="239" spans="1:8" ht="16.5" customHeight="1">
      <c r="A239" s="48" t="s">
        <v>685</v>
      </c>
      <c r="B239" s="48" t="s">
        <v>686</v>
      </c>
      <c r="C239" s="396" t="s">
        <v>563</v>
      </c>
      <c r="D239" s="396"/>
      <c r="E239" s="8">
        <v>1324</v>
      </c>
      <c r="F239" s="8">
        <v>1423</v>
      </c>
      <c r="G239" s="10">
        <v>1461</v>
      </c>
      <c r="H239" s="10">
        <v>1560</v>
      </c>
    </row>
    <row r="240" spans="1:8" ht="16.5" customHeight="1">
      <c r="A240" s="48" t="s">
        <v>719</v>
      </c>
      <c r="B240" s="48"/>
      <c r="C240" s="402" t="s">
        <v>623</v>
      </c>
      <c r="D240" s="402"/>
      <c r="E240" s="67">
        <v>541</v>
      </c>
      <c r="F240" s="67" t="s">
        <v>159</v>
      </c>
      <c r="G240" s="67">
        <v>575</v>
      </c>
      <c r="H240" s="67" t="s">
        <v>159</v>
      </c>
    </row>
    <row r="241" spans="1:8" ht="16.5" customHeight="1">
      <c r="A241" s="48" t="s">
        <v>687</v>
      </c>
      <c r="B241" s="48" t="s">
        <v>688</v>
      </c>
      <c r="C241" s="396" t="s">
        <v>566</v>
      </c>
      <c r="D241" s="396"/>
      <c r="E241" s="8">
        <v>688</v>
      </c>
      <c r="F241" s="8">
        <v>872</v>
      </c>
      <c r="G241" s="10">
        <v>858</v>
      </c>
      <c r="H241" s="10">
        <v>1085</v>
      </c>
    </row>
    <row r="242" spans="1:8" ht="16.5" customHeight="1">
      <c r="A242" s="48" t="s">
        <v>689</v>
      </c>
      <c r="B242" s="48" t="s">
        <v>690</v>
      </c>
      <c r="C242" s="394" t="s">
        <v>569</v>
      </c>
      <c r="D242" s="395"/>
      <c r="E242" s="68">
        <v>1802</v>
      </c>
      <c r="F242" s="68">
        <v>1986</v>
      </c>
      <c r="G242" s="68">
        <v>1972</v>
      </c>
      <c r="H242" s="68">
        <v>2199</v>
      </c>
    </row>
    <row r="243" spans="1:8" ht="16.5" customHeight="1">
      <c r="A243" s="48" t="s">
        <v>691</v>
      </c>
      <c r="B243" s="48" t="s">
        <v>692</v>
      </c>
      <c r="C243" s="396" t="s">
        <v>572</v>
      </c>
      <c r="D243" s="396"/>
      <c r="E243" s="8">
        <v>1802</v>
      </c>
      <c r="F243" s="8">
        <v>1986</v>
      </c>
      <c r="G243" s="10">
        <v>1972</v>
      </c>
      <c r="H243" s="10">
        <v>2199</v>
      </c>
    </row>
    <row r="244" spans="1:8" ht="16.5" customHeight="1">
      <c r="A244" s="48" t="s">
        <v>720</v>
      </c>
      <c r="B244" s="48"/>
      <c r="C244" s="394" t="s">
        <v>625</v>
      </c>
      <c r="D244" s="395"/>
      <c r="E244" s="68">
        <v>471</v>
      </c>
      <c r="F244" s="68" t="s">
        <v>159</v>
      </c>
      <c r="G244" s="68">
        <v>496</v>
      </c>
      <c r="H244" s="68" t="s">
        <v>159</v>
      </c>
    </row>
    <row r="245" spans="1:8" ht="16.5" customHeight="1">
      <c r="A245" s="48" t="s">
        <v>693</v>
      </c>
      <c r="B245" s="48" t="s">
        <v>694</v>
      </c>
      <c r="C245" s="396" t="s">
        <v>575</v>
      </c>
      <c r="D245" s="396"/>
      <c r="E245" s="8">
        <v>1191</v>
      </c>
      <c r="F245" s="8">
        <v>1375</v>
      </c>
      <c r="G245" s="10">
        <v>1362</v>
      </c>
      <c r="H245" s="10">
        <v>1588</v>
      </c>
    </row>
    <row r="246" spans="1:8" ht="16.5" customHeight="1">
      <c r="A246" s="48" t="s">
        <v>721</v>
      </c>
      <c r="B246" s="48"/>
      <c r="C246" s="394" t="s">
        <v>627</v>
      </c>
      <c r="D246" s="395"/>
      <c r="E246" s="68">
        <v>806</v>
      </c>
      <c r="F246" s="68" t="s">
        <v>159</v>
      </c>
      <c r="G246" s="68">
        <v>832</v>
      </c>
      <c r="H246" s="68" t="s">
        <v>159</v>
      </c>
    </row>
    <row r="247" spans="1:8" ht="16.5" customHeight="1">
      <c r="A247" s="48" t="s">
        <v>695</v>
      </c>
      <c r="B247" s="48" t="s">
        <v>696</v>
      </c>
      <c r="C247" s="396" t="s">
        <v>578</v>
      </c>
      <c r="D247" s="396"/>
      <c r="E247" s="8">
        <v>971</v>
      </c>
      <c r="F247" s="8">
        <v>1155</v>
      </c>
      <c r="G247" s="10">
        <v>1142</v>
      </c>
      <c r="H247" s="10">
        <v>1368</v>
      </c>
    </row>
    <row r="248" spans="1:8" ht="16.5" customHeight="1">
      <c r="A248" s="48" t="s">
        <v>697</v>
      </c>
      <c r="B248" s="48" t="s">
        <v>698</v>
      </c>
      <c r="C248" s="394" t="s">
        <v>581</v>
      </c>
      <c r="D248" s="395"/>
      <c r="E248" s="68">
        <v>1197</v>
      </c>
      <c r="F248" s="68">
        <v>1381</v>
      </c>
      <c r="G248" s="68">
        <v>1367</v>
      </c>
      <c r="H248" s="68">
        <v>1594</v>
      </c>
    </row>
    <row r="249" spans="1:8" ht="16.5" customHeight="1">
      <c r="A249" s="48" t="s">
        <v>722</v>
      </c>
      <c r="B249" s="48"/>
      <c r="C249" s="396" t="s">
        <v>629</v>
      </c>
      <c r="D249" s="396"/>
      <c r="E249" s="8">
        <v>784</v>
      </c>
      <c r="F249" s="8" t="s">
        <v>159</v>
      </c>
      <c r="G249" s="10">
        <v>853</v>
      </c>
      <c r="H249" s="10" t="s">
        <v>159</v>
      </c>
    </row>
    <row r="250" spans="1:8" ht="16.5" customHeight="1">
      <c r="A250" s="48" t="s">
        <v>699</v>
      </c>
      <c r="B250" s="48" t="s">
        <v>700</v>
      </c>
      <c r="C250" s="394" t="s">
        <v>584</v>
      </c>
      <c r="D250" s="395"/>
      <c r="E250" s="68">
        <v>1003</v>
      </c>
      <c r="F250" s="68">
        <v>1151</v>
      </c>
      <c r="G250" s="68">
        <v>1140</v>
      </c>
      <c r="H250" s="68">
        <v>1321</v>
      </c>
    </row>
    <row r="251" spans="1:8" ht="16.5" customHeight="1">
      <c r="A251" s="48" t="s">
        <v>723</v>
      </c>
      <c r="B251" s="48"/>
      <c r="C251" s="396" t="s">
        <v>631</v>
      </c>
      <c r="D251" s="396"/>
      <c r="E251" s="8">
        <v>516</v>
      </c>
      <c r="F251" s="8" t="s">
        <v>159</v>
      </c>
      <c r="G251" s="10">
        <v>532</v>
      </c>
      <c r="H251" s="10" t="s">
        <v>159</v>
      </c>
    </row>
    <row r="252" spans="1:8" ht="16.5" customHeight="1">
      <c r="A252" s="48" t="s">
        <v>740</v>
      </c>
      <c r="B252" s="48"/>
      <c r="C252" s="394" t="s">
        <v>585</v>
      </c>
      <c r="D252" s="395"/>
      <c r="E252" s="68">
        <v>5628</v>
      </c>
      <c r="F252" s="68" t="s">
        <v>159</v>
      </c>
      <c r="G252" s="68">
        <v>6105</v>
      </c>
      <c r="H252" s="68" t="s">
        <v>159</v>
      </c>
    </row>
    <row r="253" spans="1:8" ht="16.5" customHeight="1">
      <c r="A253" s="48" t="s">
        <v>415</v>
      </c>
      <c r="B253" s="48" t="s">
        <v>416</v>
      </c>
      <c r="C253" s="396" t="s">
        <v>369</v>
      </c>
      <c r="D253" s="396"/>
      <c r="E253" s="8">
        <v>1012</v>
      </c>
      <c r="F253" s="8">
        <v>1197</v>
      </c>
      <c r="G253" s="10">
        <v>1183</v>
      </c>
      <c r="H253" s="10">
        <v>1409</v>
      </c>
    </row>
    <row r="254" spans="1:8" ht="16.5" customHeight="1">
      <c r="A254" s="48" t="s">
        <v>417</v>
      </c>
      <c r="B254" s="50"/>
      <c r="C254" s="402" t="s">
        <v>370</v>
      </c>
      <c r="D254" s="402"/>
      <c r="E254" s="67">
        <v>1590</v>
      </c>
      <c r="F254" s="67" t="s">
        <v>159</v>
      </c>
      <c r="G254" s="67">
        <v>1760</v>
      </c>
      <c r="H254" s="67" t="s">
        <v>159</v>
      </c>
    </row>
    <row r="255" spans="1:8" ht="16.5" customHeight="1">
      <c r="A255" s="48" t="s">
        <v>418</v>
      </c>
      <c r="B255" s="48"/>
      <c r="C255" s="396" t="s">
        <v>371</v>
      </c>
      <c r="D255" s="396"/>
      <c r="E255" s="8">
        <v>1590</v>
      </c>
      <c r="F255" s="8" t="s">
        <v>159</v>
      </c>
      <c r="G255" s="10">
        <v>1760</v>
      </c>
      <c r="H255" s="10" t="s">
        <v>159</v>
      </c>
    </row>
    <row r="256" spans="1:8" ht="16.5" customHeight="1">
      <c r="A256" s="48" t="s">
        <v>724</v>
      </c>
      <c r="B256" s="48"/>
      <c r="C256" s="394" t="s">
        <v>633</v>
      </c>
      <c r="D256" s="395"/>
      <c r="E256" s="68">
        <v>399</v>
      </c>
      <c r="F256" s="68" t="s">
        <v>159</v>
      </c>
      <c r="G256" s="68">
        <v>468</v>
      </c>
      <c r="H256" s="68" t="s">
        <v>159</v>
      </c>
    </row>
    <row r="257" spans="3:8" ht="27.75" customHeight="1">
      <c r="C257" s="397" t="s">
        <v>158</v>
      </c>
      <c r="D257" s="398"/>
      <c r="E257" s="398"/>
      <c r="F257" s="398"/>
      <c r="G257" s="399"/>
      <c r="H257" s="49"/>
    </row>
    <row r="258" spans="3:8" ht="55.5" customHeight="1">
      <c r="C258" s="397" t="s">
        <v>726</v>
      </c>
      <c r="D258" s="398"/>
      <c r="E258" s="398"/>
      <c r="F258" s="398"/>
      <c r="G258" s="399"/>
      <c r="H258" s="49"/>
    </row>
    <row r="259" spans="3:8" ht="124.5" customHeight="1">
      <c r="C259" s="397" t="s">
        <v>725</v>
      </c>
      <c r="D259" s="398"/>
      <c r="E259" s="398"/>
      <c r="F259" s="398"/>
      <c r="G259" s="399"/>
      <c r="H259" s="49"/>
    </row>
  </sheetData>
  <sheetProtection/>
  <mergeCells count="263">
    <mergeCell ref="C67:D67"/>
    <mergeCell ref="C68:D68"/>
    <mergeCell ref="C69:D69"/>
    <mergeCell ref="C76:D76"/>
    <mergeCell ref="C70:D70"/>
    <mergeCell ref="C71:D71"/>
    <mergeCell ref="C72:D72"/>
    <mergeCell ref="C73:D73"/>
    <mergeCell ref="C74:D74"/>
    <mergeCell ref="C75:D75"/>
    <mergeCell ref="C54:D54"/>
    <mergeCell ref="C51:D51"/>
    <mergeCell ref="C53:D53"/>
    <mergeCell ref="C64:D64"/>
    <mergeCell ref="C65:D65"/>
    <mergeCell ref="C66:D66"/>
    <mergeCell ref="A61:B63"/>
    <mergeCell ref="C61:D63"/>
    <mergeCell ref="E61:F61"/>
    <mergeCell ref="G61:H61"/>
    <mergeCell ref="E63:H63"/>
    <mergeCell ref="C58:D58"/>
    <mergeCell ref="C37:D37"/>
    <mergeCell ref="C31:D31"/>
    <mergeCell ref="C32:D32"/>
    <mergeCell ref="C33:D33"/>
    <mergeCell ref="C34:D34"/>
    <mergeCell ref="C38:D38"/>
    <mergeCell ref="C30:D30"/>
    <mergeCell ref="E24:F24"/>
    <mergeCell ref="G24:H24"/>
    <mergeCell ref="E26:H26"/>
    <mergeCell ref="C35:D35"/>
    <mergeCell ref="C36:D36"/>
    <mergeCell ref="C243:D243"/>
    <mergeCell ref="C244:D244"/>
    <mergeCell ref="C251:D251"/>
    <mergeCell ref="C254:D254"/>
    <mergeCell ref="C245:D245"/>
    <mergeCell ref="C247:D247"/>
    <mergeCell ref="C246:D246"/>
    <mergeCell ref="C248:D248"/>
    <mergeCell ref="C249:D249"/>
    <mergeCell ref="C250:D250"/>
    <mergeCell ref="C228:D228"/>
    <mergeCell ref="C226:D226"/>
    <mergeCell ref="C227:D227"/>
    <mergeCell ref="C229:D229"/>
    <mergeCell ref="C230:D230"/>
    <mergeCell ref="C239:D239"/>
    <mergeCell ref="C233:D233"/>
    <mergeCell ref="C232:D232"/>
    <mergeCell ref="C240:D240"/>
    <mergeCell ref="C241:D241"/>
    <mergeCell ref="C234:D234"/>
    <mergeCell ref="C235:D235"/>
    <mergeCell ref="C257:G257"/>
    <mergeCell ref="C213:D213"/>
    <mergeCell ref="C214:D214"/>
    <mergeCell ref="C217:D217"/>
    <mergeCell ref="C215:D215"/>
    <mergeCell ref="C216:D216"/>
    <mergeCell ref="C252:D252"/>
    <mergeCell ref="C253:D253"/>
    <mergeCell ref="C218:D218"/>
    <mergeCell ref="C221:D221"/>
    <mergeCell ref="C219:D219"/>
    <mergeCell ref="C224:D224"/>
    <mergeCell ref="C238:D238"/>
    <mergeCell ref="C236:D236"/>
    <mergeCell ref="C237:D237"/>
    <mergeCell ref="C223:D223"/>
    <mergeCell ref="C242:D242"/>
    <mergeCell ref="C208:D208"/>
    <mergeCell ref="C211:D211"/>
    <mergeCell ref="C209:D209"/>
    <mergeCell ref="C210:D210"/>
    <mergeCell ref="C212:D212"/>
    <mergeCell ref="C231:D231"/>
    <mergeCell ref="C220:D220"/>
    <mergeCell ref="C222:D222"/>
    <mergeCell ref="C225:D225"/>
    <mergeCell ref="C200:D200"/>
    <mergeCell ref="C203:D203"/>
    <mergeCell ref="C201:D201"/>
    <mergeCell ref="C202:D202"/>
    <mergeCell ref="C204:D204"/>
    <mergeCell ref="C207:D207"/>
    <mergeCell ref="C192:D192"/>
    <mergeCell ref="C193:D193"/>
    <mergeCell ref="C205:D205"/>
    <mergeCell ref="C206:D206"/>
    <mergeCell ref="C194:D194"/>
    <mergeCell ref="C198:D198"/>
    <mergeCell ref="C195:D195"/>
    <mergeCell ref="C196:D196"/>
    <mergeCell ref="C199:D199"/>
    <mergeCell ref="C197:D197"/>
    <mergeCell ref="C184:D184"/>
    <mergeCell ref="C187:D187"/>
    <mergeCell ref="C185:D185"/>
    <mergeCell ref="C186:D186"/>
    <mergeCell ref="C188:D188"/>
    <mergeCell ref="C191:D191"/>
    <mergeCell ref="C189:D189"/>
    <mergeCell ref="C190:D190"/>
    <mergeCell ref="C179:D179"/>
    <mergeCell ref="C178:D178"/>
    <mergeCell ref="C180:D180"/>
    <mergeCell ref="C183:D183"/>
    <mergeCell ref="C181:D181"/>
    <mergeCell ref="C182:D182"/>
    <mergeCell ref="C163:D163"/>
    <mergeCell ref="C166:D166"/>
    <mergeCell ref="C164:D164"/>
    <mergeCell ref="C165:D165"/>
    <mergeCell ref="C167:D167"/>
    <mergeCell ref="C173:D173"/>
    <mergeCell ref="C172:D172"/>
    <mergeCell ref="C168:H168"/>
    <mergeCell ref="C157:D157"/>
    <mergeCell ref="C159:D159"/>
    <mergeCell ref="C158:D158"/>
    <mergeCell ref="C160:D160"/>
    <mergeCell ref="C161:D161"/>
    <mergeCell ref="C162:D162"/>
    <mergeCell ref="C151:D151"/>
    <mergeCell ref="C154:D154"/>
    <mergeCell ref="C152:D152"/>
    <mergeCell ref="C153:D153"/>
    <mergeCell ref="C155:D155"/>
    <mergeCell ref="C156:D156"/>
    <mergeCell ref="C145:D145"/>
    <mergeCell ref="C144:D144"/>
    <mergeCell ref="C146:D146"/>
    <mergeCell ref="C147:D147"/>
    <mergeCell ref="C150:D150"/>
    <mergeCell ref="C148:D148"/>
    <mergeCell ref="C149:D149"/>
    <mergeCell ref="C140:D140"/>
    <mergeCell ref="C138:D138"/>
    <mergeCell ref="C139:D139"/>
    <mergeCell ref="C141:D141"/>
    <mergeCell ref="C142:D142"/>
    <mergeCell ref="C143:D143"/>
    <mergeCell ref="C130:D130"/>
    <mergeCell ref="C133:D133"/>
    <mergeCell ref="C131:D131"/>
    <mergeCell ref="C132:D132"/>
    <mergeCell ref="C134:D134"/>
    <mergeCell ref="C137:D137"/>
    <mergeCell ref="C135:D135"/>
    <mergeCell ref="C136:D136"/>
    <mergeCell ref="C124:D124"/>
    <mergeCell ref="C125:D125"/>
    <mergeCell ref="C126:D126"/>
    <mergeCell ref="C129:D129"/>
    <mergeCell ref="C127:D127"/>
    <mergeCell ref="C128:D128"/>
    <mergeCell ref="C116:D116"/>
    <mergeCell ref="C119:D119"/>
    <mergeCell ref="C117:D117"/>
    <mergeCell ref="C118:D118"/>
    <mergeCell ref="C120:D120"/>
    <mergeCell ref="C123:D123"/>
    <mergeCell ref="C121:D121"/>
    <mergeCell ref="C122:D122"/>
    <mergeCell ref="C111:D111"/>
    <mergeCell ref="C110:D110"/>
    <mergeCell ref="C112:D112"/>
    <mergeCell ref="C115:D115"/>
    <mergeCell ref="C113:D113"/>
    <mergeCell ref="C114:D114"/>
    <mergeCell ref="C104:D104"/>
    <mergeCell ref="C109:D109"/>
    <mergeCell ref="C106:D106"/>
    <mergeCell ref="C105:D105"/>
    <mergeCell ref="C107:D107"/>
    <mergeCell ref="C108:D108"/>
    <mergeCell ref="C96:D96"/>
    <mergeCell ref="C99:D99"/>
    <mergeCell ref="C97:D97"/>
    <mergeCell ref="C98:D98"/>
    <mergeCell ref="C100:D100"/>
    <mergeCell ref="C103:D103"/>
    <mergeCell ref="C101:D101"/>
    <mergeCell ref="C102:D102"/>
    <mergeCell ref="C91:D91"/>
    <mergeCell ref="C90:D90"/>
    <mergeCell ref="C92:D92"/>
    <mergeCell ref="C95:D95"/>
    <mergeCell ref="C93:D93"/>
    <mergeCell ref="C94:D94"/>
    <mergeCell ref="C85:D85"/>
    <mergeCell ref="C84:D84"/>
    <mergeCell ref="C86:D86"/>
    <mergeCell ref="C88:D88"/>
    <mergeCell ref="C87:D87"/>
    <mergeCell ref="C89:D89"/>
    <mergeCell ref="A80:B82"/>
    <mergeCell ref="C80:D82"/>
    <mergeCell ref="E80:F80"/>
    <mergeCell ref="G80:H80"/>
    <mergeCell ref="E82:H82"/>
    <mergeCell ref="C83:D83"/>
    <mergeCell ref="C77:H77"/>
    <mergeCell ref="C78:H78"/>
    <mergeCell ref="C43:H43"/>
    <mergeCell ref="C44:D46"/>
    <mergeCell ref="E44:F44"/>
    <mergeCell ref="G44:H44"/>
    <mergeCell ref="C55:D55"/>
    <mergeCell ref="C48:D48"/>
    <mergeCell ref="C57:D57"/>
    <mergeCell ref="C56:D56"/>
    <mergeCell ref="A9:B10"/>
    <mergeCell ref="A44:B46"/>
    <mergeCell ref="C39:H39"/>
    <mergeCell ref="C40:H40"/>
    <mergeCell ref="F41:H41"/>
    <mergeCell ref="C50:D50"/>
    <mergeCell ref="C41:E41"/>
    <mergeCell ref="C17:D17"/>
    <mergeCell ref="C18:D18"/>
    <mergeCell ref="A24:B25"/>
    <mergeCell ref="C20:D20"/>
    <mergeCell ref="C52:D52"/>
    <mergeCell ref="C59:D59"/>
    <mergeCell ref="C22:D22"/>
    <mergeCell ref="C47:D47"/>
    <mergeCell ref="C42:H42"/>
    <mergeCell ref="C24:D26"/>
    <mergeCell ref="C27:D27"/>
    <mergeCell ref="C28:D28"/>
    <mergeCell ref="C29:D29"/>
    <mergeCell ref="C7:H7"/>
    <mergeCell ref="C12:D12"/>
    <mergeCell ref="C13:D13"/>
    <mergeCell ref="C14:D14"/>
    <mergeCell ref="E11:H11"/>
    <mergeCell ref="C9:D11"/>
    <mergeCell ref="G9:H9"/>
    <mergeCell ref="E9:F9"/>
    <mergeCell ref="C259:G259"/>
    <mergeCell ref="C255:D255"/>
    <mergeCell ref="C258:G258"/>
    <mergeCell ref="C19:D19"/>
    <mergeCell ref="C49:D49"/>
    <mergeCell ref="C15:D15"/>
    <mergeCell ref="C16:D16"/>
    <mergeCell ref="E46:H46"/>
    <mergeCell ref="C21:D21"/>
    <mergeCell ref="C79:H79"/>
    <mergeCell ref="A169:B171"/>
    <mergeCell ref="C169:D171"/>
    <mergeCell ref="E169:F169"/>
    <mergeCell ref="G169:H169"/>
    <mergeCell ref="E171:H171"/>
    <mergeCell ref="C256:D256"/>
    <mergeCell ref="C174:D174"/>
    <mergeCell ref="C176:D176"/>
    <mergeCell ref="C175:D175"/>
    <mergeCell ref="C177:D177"/>
  </mergeCells>
  <hyperlinks>
    <hyperlink ref="H4" r:id="rId1" display="Подробнее&gt;&gt;&gt;"/>
  </hyperlinks>
  <printOptions/>
  <pageMargins left="0.45" right="0.45" top="0.5" bottom="0.5" header="0.3" footer="0.3"/>
  <pageSetup fitToHeight="0" horizontalDpi="600" verticalDpi="600" orientation="portrait" paperSize="9" scale="95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" sqref="F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9CCFF"/>
  </sheetPr>
  <dimension ref="A1:J645"/>
  <sheetViews>
    <sheetView zoomScalePageLayoutView="0" workbookViewId="0" topLeftCell="A1">
      <selection activeCell="A3" sqref="A3:J3"/>
    </sheetView>
  </sheetViews>
  <sheetFormatPr defaultColWidth="9.140625" defaultRowHeight="12.75"/>
  <cols>
    <col min="5" max="5" width="5.00390625" style="0" customWidth="1"/>
    <col min="6" max="6" width="3.140625" style="0" customWidth="1"/>
    <col min="7" max="7" width="1.8515625" style="0" hidden="1" customWidth="1"/>
    <col min="8" max="8" width="9.140625" style="0" hidden="1" customWidth="1"/>
    <col min="10" max="10" width="32.28125" style="0" customWidth="1"/>
  </cols>
  <sheetData>
    <row r="1" spans="1:10" ht="72.75" customHeight="1">
      <c r="A1" s="11"/>
      <c r="B1" s="60"/>
      <c r="C1" s="61"/>
      <c r="D1" s="62"/>
      <c r="E1" s="62"/>
      <c r="F1" s="62"/>
      <c r="G1" s="62"/>
      <c r="H1" s="62"/>
      <c r="I1" s="62"/>
      <c r="J1" s="13"/>
    </row>
    <row r="2" spans="1:10" ht="105.75" customHeight="1">
      <c r="A2" s="465" t="s">
        <v>2236</v>
      </c>
      <c r="B2" s="465"/>
      <c r="C2" s="465"/>
      <c r="D2" s="465"/>
      <c r="E2" s="465"/>
      <c r="F2" s="465"/>
      <c r="G2" s="465"/>
      <c r="H2" s="465"/>
      <c r="I2" s="465"/>
      <c r="J2" s="465"/>
    </row>
    <row r="3" spans="1:10" ht="34.5" customHeight="1" thickBot="1">
      <c r="A3" s="443" t="s">
        <v>2187</v>
      </c>
      <c r="B3" s="443"/>
      <c r="C3" s="443"/>
      <c r="D3" s="443"/>
      <c r="E3" s="443"/>
      <c r="F3" s="443"/>
      <c r="G3" s="443"/>
      <c r="H3" s="443"/>
      <c r="I3" s="443"/>
      <c r="J3" s="443"/>
    </row>
    <row r="4" spans="1:10" ht="18.75" thickBot="1">
      <c r="A4" s="444" t="s">
        <v>758</v>
      </c>
      <c r="B4" s="445"/>
      <c r="C4" s="445"/>
      <c r="D4" s="445"/>
      <c r="E4" s="445"/>
      <c r="F4" s="445"/>
      <c r="G4" s="445"/>
      <c r="H4" s="445"/>
      <c r="I4" s="445"/>
      <c r="J4" s="446"/>
    </row>
    <row r="5" spans="1:10" ht="30" customHeight="1" thickBot="1">
      <c r="A5" s="437" t="s">
        <v>97</v>
      </c>
      <c r="B5" s="438"/>
      <c r="C5" s="438"/>
      <c r="D5" s="438"/>
      <c r="E5" s="438"/>
      <c r="F5" s="438"/>
      <c r="G5" s="439"/>
      <c r="H5" s="200"/>
      <c r="I5" s="198" t="s">
        <v>2185</v>
      </c>
      <c r="J5" s="201" t="s">
        <v>2186</v>
      </c>
    </row>
    <row r="6" spans="1:10" ht="15">
      <c r="A6" s="440" t="s">
        <v>105</v>
      </c>
      <c r="B6" s="441"/>
      <c r="C6" s="441"/>
      <c r="D6" s="441"/>
      <c r="E6" s="441"/>
      <c r="F6" s="441"/>
      <c r="G6" s="441"/>
      <c r="H6" s="442"/>
      <c r="I6" s="202" t="s">
        <v>9</v>
      </c>
      <c r="J6" s="278">
        <f>245*(100%+20%)</f>
        <v>294</v>
      </c>
    </row>
    <row r="7" spans="1:10" ht="15">
      <c r="A7" s="418" t="s">
        <v>103</v>
      </c>
      <c r="B7" s="419"/>
      <c r="C7" s="419"/>
      <c r="D7" s="419"/>
      <c r="E7" s="419"/>
      <c r="F7" s="419"/>
      <c r="G7" s="419"/>
      <c r="H7" s="427"/>
      <c r="I7" s="203" t="s">
        <v>9</v>
      </c>
      <c r="J7" s="279">
        <f>210*(100%+20%)</f>
        <v>252</v>
      </c>
    </row>
    <row r="8" spans="1:10" ht="15">
      <c r="A8" s="418" t="s">
        <v>104</v>
      </c>
      <c r="B8" s="419"/>
      <c r="C8" s="419"/>
      <c r="D8" s="419"/>
      <c r="E8" s="419"/>
      <c r="F8" s="419"/>
      <c r="G8" s="419"/>
      <c r="H8" s="427"/>
      <c r="I8" s="203" t="s">
        <v>9</v>
      </c>
      <c r="J8" s="279">
        <f>342*(100%+20%)</f>
        <v>410.4</v>
      </c>
    </row>
    <row r="9" spans="1:10" ht="15">
      <c r="A9" s="418" t="s">
        <v>98</v>
      </c>
      <c r="B9" s="419"/>
      <c r="C9" s="419"/>
      <c r="D9" s="419"/>
      <c r="E9" s="419"/>
      <c r="F9" s="419"/>
      <c r="G9" s="419"/>
      <c r="H9" s="427"/>
      <c r="I9" s="203" t="s">
        <v>0</v>
      </c>
      <c r="J9" s="279">
        <f>847*(100%+20%)</f>
        <v>1016.4</v>
      </c>
    </row>
    <row r="10" spans="1:10" ht="15">
      <c r="A10" s="418" t="s">
        <v>135</v>
      </c>
      <c r="B10" s="419"/>
      <c r="C10" s="419"/>
      <c r="D10" s="419"/>
      <c r="E10" s="419"/>
      <c r="F10" s="419"/>
      <c r="G10" s="419"/>
      <c r="H10" s="427"/>
      <c r="I10" s="203" t="s">
        <v>9</v>
      </c>
      <c r="J10" s="279">
        <f>1080*(100%+20%)</f>
        <v>1296</v>
      </c>
    </row>
    <row r="11" spans="1:10" ht="15">
      <c r="A11" s="418" t="s">
        <v>99</v>
      </c>
      <c r="B11" s="419"/>
      <c r="C11" s="419"/>
      <c r="D11" s="419"/>
      <c r="E11" s="419"/>
      <c r="F11" s="419"/>
      <c r="G11" s="419"/>
      <c r="H11" s="427"/>
      <c r="I11" s="203" t="s">
        <v>0</v>
      </c>
      <c r="J11" s="279">
        <f>1272*(100%+20%)</f>
        <v>1526.3999999999999</v>
      </c>
    </row>
    <row r="12" spans="1:10" ht="15">
      <c r="A12" s="418" t="s">
        <v>136</v>
      </c>
      <c r="B12" s="419"/>
      <c r="C12" s="419"/>
      <c r="D12" s="419"/>
      <c r="E12" s="419"/>
      <c r="F12" s="419"/>
      <c r="G12" s="419"/>
      <c r="H12" s="427"/>
      <c r="I12" s="203" t="s">
        <v>9</v>
      </c>
      <c r="J12" s="279">
        <f>1167*(100%+20%)</f>
        <v>1400.3999999999999</v>
      </c>
    </row>
    <row r="13" spans="1:10" ht="15">
      <c r="A13" s="418" t="s">
        <v>447</v>
      </c>
      <c r="B13" s="419"/>
      <c r="C13" s="419"/>
      <c r="D13" s="419"/>
      <c r="E13" s="419"/>
      <c r="F13" s="419"/>
      <c r="G13" s="419"/>
      <c r="H13" s="427"/>
      <c r="I13" s="203" t="s">
        <v>0</v>
      </c>
      <c r="J13" s="279">
        <f>1558*(100%+20%)</f>
        <v>1869.6</v>
      </c>
    </row>
    <row r="14" spans="1:10" ht="15">
      <c r="A14" s="418" t="s">
        <v>446</v>
      </c>
      <c r="B14" s="419"/>
      <c r="C14" s="419"/>
      <c r="D14" s="419"/>
      <c r="E14" s="419"/>
      <c r="F14" s="419"/>
      <c r="G14" s="419"/>
      <c r="H14" s="427"/>
      <c r="I14" s="203" t="s">
        <v>9</v>
      </c>
      <c r="J14" s="279">
        <f>1383*(100%+20%)</f>
        <v>1659.6</v>
      </c>
    </row>
    <row r="15" spans="1:10" ht="15">
      <c r="A15" s="418" t="s">
        <v>448</v>
      </c>
      <c r="B15" s="419"/>
      <c r="C15" s="419"/>
      <c r="D15" s="419"/>
      <c r="E15" s="419"/>
      <c r="F15" s="419"/>
      <c r="G15" s="419"/>
      <c r="H15" s="427"/>
      <c r="I15" s="203" t="s">
        <v>0</v>
      </c>
      <c r="J15" s="279">
        <f>2608*(100%+20%)</f>
        <v>3129.6</v>
      </c>
    </row>
    <row r="16" spans="1:10" ht="15">
      <c r="A16" s="418" t="s">
        <v>449</v>
      </c>
      <c r="B16" s="419"/>
      <c r="C16" s="419"/>
      <c r="D16" s="419"/>
      <c r="E16" s="419"/>
      <c r="F16" s="419"/>
      <c r="G16" s="419"/>
      <c r="H16" s="427"/>
      <c r="I16" s="203" t="s">
        <v>9</v>
      </c>
      <c r="J16" s="279">
        <f>2364*(100%+20%)</f>
        <v>2836.7999999999997</v>
      </c>
    </row>
    <row r="17" spans="1:10" ht="15">
      <c r="A17" s="418" t="s">
        <v>1498</v>
      </c>
      <c r="B17" s="419"/>
      <c r="C17" s="419"/>
      <c r="D17" s="419"/>
      <c r="E17" s="419"/>
      <c r="F17" s="419"/>
      <c r="G17" s="419"/>
      <c r="H17" s="427"/>
      <c r="I17" s="203" t="s">
        <v>9</v>
      </c>
      <c r="J17" s="279">
        <f>6781*(100%+20%)</f>
        <v>8137.2</v>
      </c>
    </row>
    <row r="18" spans="1:10" ht="15">
      <c r="A18" s="418" t="s">
        <v>1499</v>
      </c>
      <c r="B18" s="419"/>
      <c r="C18" s="419"/>
      <c r="D18" s="419"/>
      <c r="E18" s="419"/>
      <c r="F18" s="419"/>
      <c r="G18" s="419"/>
      <c r="H18" s="427"/>
      <c r="I18" s="203" t="s">
        <v>9</v>
      </c>
      <c r="J18" s="279">
        <f>8136*(100%+20%)</f>
        <v>9763.199999999999</v>
      </c>
    </row>
    <row r="19" spans="1:10" ht="15">
      <c r="A19" s="418" t="s">
        <v>1500</v>
      </c>
      <c r="B19" s="419"/>
      <c r="C19" s="419"/>
      <c r="D19" s="419"/>
      <c r="E19" s="419"/>
      <c r="F19" s="419"/>
      <c r="G19" s="419"/>
      <c r="H19" s="427"/>
      <c r="I19" s="203" t="s">
        <v>9</v>
      </c>
      <c r="J19" s="279">
        <f>8679*(100%+20%)</f>
        <v>10414.8</v>
      </c>
    </row>
    <row r="20" spans="1:10" ht="15.75" thickBot="1">
      <c r="A20" s="428" t="s">
        <v>1501</v>
      </c>
      <c r="B20" s="429"/>
      <c r="C20" s="429"/>
      <c r="D20" s="429"/>
      <c r="E20" s="429"/>
      <c r="F20" s="429"/>
      <c r="G20" s="429"/>
      <c r="H20" s="430"/>
      <c r="I20" s="204" t="s">
        <v>9</v>
      </c>
      <c r="J20" s="280">
        <f>8136*(100%+20%)</f>
        <v>9763.199999999999</v>
      </c>
    </row>
    <row r="21" spans="1:10" ht="18.75" thickBot="1">
      <c r="A21" s="431" t="s">
        <v>1565</v>
      </c>
      <c r="B21" s="432"/>
      <c r="C21" s="432"/>
      <c r="D21" s="432"/>
      <c r="E21" s="432"/>
      <c r="F21" s="432"/>
      <c r="G21" s="432"/>
      <c r="H21" s="432"/>
      <c r="I21" s="432"/>
      <c r="J21" s="433"/>
    </row>
    <row r="22" spans="1:10" ht="30" customHeight="1" thickBot="1">
      <c r="A22" s="437" t="s">
        <v>97</v>
      </c>
      <c r="B22" s="438"/>
      <c r="C22" s="438"/>
      <c r="D22" s="438"/>
      <c r="E22" s="438"/>
      <c r="F22" s="438"/>
      <c r="G22" s="439"/>
      <c r="H22" s="197"/>
      <c r="I22" s="198" t="s">
        <v>2185</v>
      </c>
      <c r="J22" s="199" t="s">
        <v>2186</v>
      </c>
    </row>
    <row r="23" spans="1:10" ht="15">
      <c r="A23" s="440" t="s">
        <v>1566</v>
      </c>
      <c r="B23" s="441"/>
      <c r="C23" s="441"/>
      <c r="D23" s="441"/>
      <c r="E23" s="441"/>
      <c r="F23" s="447"/>
      <c r="G23" s="205"/>
      <c r="H23" s="206"/>
      <c r="I23" s="207" t="s">
        <v>9</v>
      </c>
      <c r="J23" s="281">
        <f>458*(100%+20%)</f>
        <v>549.6</v>
      </c>
    </row>
    <row r="24" spans="1:10" ht="15">
      <c r="A24" s="418" t="s">
        <v>1567</v>
      </c>
      <c r="B24" s="419"/>
      <c r="C24" s="419"/>
      <c r="D24" s="419"/>
      <c r="E24" s="419"/>
      <c r="F24" s="420"/>
      <c r="G24" s="208"/>
      <c r="H24" s="209"/>
      <c r="I24" s="193" t="s">
        <v>9</v>
      </c>
      <c r="J24" s="282">
        <f>1538*(100%+20%)</f>
        <v>1845.6</v>
      </c>
    </row>
    <row r="25" spans="1:10" ht="15">
      <c r="A25" s="418" t="s">
        <v>1568</v>
      </c>
      <c r="B25" s="419"/>
      <c r="C25" s="419"/>
      <c r="D25" s="419"/>
      <c r="E25" s="419"/>
      <c r="F25" s="420"/>
      <c r="G25" s="208"/>
      <c r="H25" s="209"/>
      <c r="I25" s="193" t="s">
        <v>9</v>
      </c>
      <c r="J25" s="282">
        <f>626*(100%+20%)</f>
        <v>751.1999999999999</v>
      </c>
    </row>
    <row r="26" spans="1:10" ht="15">
      <c r="A26" s="418" t="s">
        <v>1569</v>
      </c>
      <c r="B26" s="419"/>
      <c r="C26" s="419"/>
      <c r="D26" s="419"/>
      <c r="E26" s="419"/>
      <c r="F26" s="420"/>
      <c r="G26" s="208"/>
      <c r="H26" s="209"/>
      <c r="I26" s="193" t="s">
        <v>9</v>
      </c>
      <c r="J26" s="282">
        <f>1622*(100%+20%)</f>
        <v>1946.3999999999999</v>
      </c>
    </row>
    <row r="27" spans="1:10" ht="15">
      <c r="A27" s="418" t="s">
        <v>1570</v>
      </c>
      <c r="B27" s="419"/>
      <c r="C27" s="419"/>
      <c r="D27" s="419"/>
      <c r="E27" s="419"/>
      <c r="F27" s="420"/>
      <c r="G27" s="208"/>
      <c r="H27" s="209"/>
      <c r="I27" s="193" t="s">
        <v>9</v>
      </c>
      <c r="J27" s="282">
        <f>462*(100%+20%)</f>
        <v>554.4</v>
      </c>
    </row>
    <row r="28" spans="1:10" ht="15">
      <c r="A28" s="418" t="s">
        <v>1571</v>
      </c>
      <c r="B28" s="419"/>
      <c r="C28" s="419"/>
      <c r="D28" s="419"/>
      <c r="E28" s="419"/>
      <c r="F28" s="420"/>
      <c r="G28" s="208"/>
      <c r="H28" s="209"/>
      <c r="I28" s="193" t="s">
        <v>9</v>
      </c>
      <c r="J28" s="282">
        <f>1542*(100%+20%)</f>
        <v>1850.3999999999999</v>
      </c>
    </row>
    <row r="29" spans="1:10" ht="15">
      <c r="A29" s="418" t="s">
        <v>1572</v>
      </c>
      <c r="B29" s="419"/>
      <c r="C29" s="419"/>
      <c r="D29" s="419"/>
      <c r="E29" s="419"/>
      <c r="F29" s="420"/>
      <c r="G29" s="208"/>
      <c r="H29" s="209"/>
      <c r="I29" s="193" t="s">
        <v>9</v>
      </c>
      <c r="J29" s="282">
        <f>636*(100%+20%)</f>
        <v>763.1999999999999</v>
      </c>
    </row>
    <row r="30" spans="1:10" ht="15">
      <c r="A30" s="418" t="s">
        <v>1573</v>
      </c>
      <c r="B30" s="419"/>
      <c r="C30" s="419"/>
      <c r="D30" s="419"/>
      <c r="E30" s="419"/>
      <c r="F30" s="420"/>
      <c r="G30" s="208"/>
      <c r="H30" s="209"/>
      <c r="I30" s="193" t="s">
        <v>9</v>
      </c>
      <c r="J30" s="282">
        <f>1627*(100%+20%)</f>
        <v>1952.3999999999999</v>
      </c>
    </row>
    <row r="31" spans="1:10" ht="15">
      <c r="A31" s="418" t="s">
        <v>1574</v>
      </c>
      <c r="B31" s="419"/>
      <c r="C31" s="419"/>
      <c r="D31" s="419"/>
      <c r="E31" s="419"/>
      <c r="F31" s="420"/>
      <c r="G31" s="208"/>
      <c r="H31" s="209"/>
      <c r="I31" s="193" t="s">
        <v>9</v>
      </c>
      <c r="J31" s="282">
        <f>524*(100%+20%)</f>
        <v>628.8</v>
      </c>
    </row>
    <row r="32" spans="1:10" ht="15">
      <c r="A32" s="418" t="s">
        <v>1575</v>
      </c>
      <c r="B32" s="419"/>
      <c r="C32" s="419"/>
      <c r="D32" s="419"/>
      <c r="E32" s="419"/>
      <c r="F32" s="420"/>
      <c r="G32" s="208"/>
      <c r="H32" s="209"/>
      <c r="I32" s="193" t="s">
        <v>9</v>
      </c>
      <c r="J32" s="282">
        <f>975*(100%+20%)</f>
        <v>1170</v>
      </c>
    </row>
    <row r="33" spans="1:10" ht="15">
      <c r="A33" s="418" t="s">
        <v>1576</v>
      </c>
      <c r="B33" s="419"/>
      <c r="C33" s="419"/>
      <c r="D33" s="419"/>
      <c r="E33" s="419"/>
      <c r="F33" s="420"/>
      <c r="G33" s="208"/>
      <c r="H33" s="209"/>
      <c r="I33" s="193" t="s">
        <v>9</v>
      </c>
      <c r="J33" s="282">
        <f>1604*(100%+20%)</f>
        <v>1924.8</v>
      </c>
    </row>
    <row r="34" spans="1:10" ht="15">
      <c r="A34" s="418" t="s">
        <v>1577</v>
      </c>
      <c r="B34" s="419"/>
      <c r="C34" s="419"/>
      <c r="D34" s="419"/>
      <c r="E34" s="419"/>
      <c r="F34" s="420"/>
      <c r="G34" s="208"/>
      <c r="H34" s="209"/>
      <c r="I34" s="193" t="s">
        <v>9</v>
      </c>
      <c r="J34" s="282">
        <f>2009*(100%+20%)</f>
        <v>2410.7999999999997</v>
      </c>
    </row>
    <row r="35" spans="1:10" ht="15">
      <c r="A35" s="418" t="s">
        <v>1578</v>
      </c>
      <c r="B35" s="419"/>
      <c r="C35" s="419"/>
      <c r="D35" s="419"/>
      <c r="E35" s="419"/>
      <c r="F35" s="420"/>
      <c r="G35" s="208"/>
      <c r="H35" s="209"/>
      <c r="I35" s="193" t="s">
        <v>9</v>
      </c>
      <c r="J35" s="282">
        <f>692*(100%+20%)</f>
        <v>830.4</v>
      </c>
    </row>
    <row r="36" spans="1:10" ht="15">
      <c r="A36" s="418" t="s">
        <v>1579</v>
      </c>
      <c r="B36" s="419"/>
      <c r="C36" s="419"/>
      <c r="D36" s="419"/>
      <c r="E36" s="419"/>
      <c r="F36" s="420"/>
      <c r="G36" s="208"/>
      <c r="H36" s="209"/>
      <c r="I36" s="193" t="s">
        <v>9</v>
      </c>
      <c r="J36" s="282">
        <f>1146*(100%+20%)</f>
        <v>1375.2</v>
      </c>
    </row>
    <row r="37" spans="1:10" ht="15">
      <c r="A37" s="418" t="s">
        <v>1580</v>
      </c>
      <c r="B37" s="419"/>
      <c r="C37" s="419"/>
      <c r="D37" s="419"/>
      <c r="E37" s="419"/>
      <c r="F37" s="420"/>
      <c r="G37" s="208"/>
      <c r="H37" s="209"/>
      <c r="I37" s="193" t="s">
        <v>9</v>
      </c>
      <c r="J37" s="282">
        <f>1689*(100%+20%)</f>
        <v>2026.8</v>
      </c>
    </row>
    <row r="38" spans="1:10" ht="15">
      <c r="A38" s="418" t="s">
        <v>1581</v>
      </c>
      <c r="B38" s="419"/>
      <c r="C38" s="419"/>
      <c r="D38" s="419"/>
      <c r="E38" s="419"/>
      <c r="F38" s="420"/>
      <c r="G38" s="208"/>
      <c r="H38" s="209"/>
      <c r="I38" s="193" t="s">
        <v>9</v>
      </c>
      <c r="J38" s="282">
        <f>2093*(100%+20%)</f>
        <v>2511.6</v>
      </c>
    </row>
    <row r="39" spans="1:10" ht="15">
      <c r="A39" s="418" t="s">
        <v>1582</v>
      </c>
      <c r="B39" s="419"/>
      <c r="C39" s="419"/>
      <c r="D39" s="419"/>
      <c r="E39" s="419"/>
      <c r="F39" s="420"/>
      <c r="G39" s="208"/>
      <c r="H39" s="209"/>
      <c r="I39" s="193" t="s">
        <v>9</v>
      </c>
      <c r="J39" s="282">
        <f>507*(100%+20%)</f>
        <v>608.4</v>
      </c>
    </row>
    <row r="40" spans="1:10" ht="15">
      <c r="A40" s="418" t="s">
        <v>1583</v>
      </c>
      <c r="B40" s="419"/>
      <c r="C40" s="419"/>
      <c r="D40" s="419"/>
      <c r="E40" s="419"/>
      <c r="F40" s="420"/>
      <c r="G40" s="208"/>
      <c r="H40" s="209"/>
      <c r="I40" s="193" t="s">
        <v>9</v>
      </c>
      <c r="J40" s="282">
        <f>1160*(100%+20%)</f>
        <v>1392</v>
      </c>
    </row>
    <row r="41" spans="1:10" ht="15">
      <c r="A41" s="418" t="s">
        <v>1584</v>
      </c>
      <c r="B41" s="419"/>
      <c r="C41" s="419"/>
      <c r="D41" s="419"/>
      <c r="E41" s="419"/>
      <c r="F41" s="420"/>
      <c r="G41" s="208"/>
      <c r="H41" s="209"/>
      <c r="I41" s="193" t="s">
        <v>9</v>
      </c>
      <c r="J41" s="282">
        <f>1588*(100%+20%)</f>
        <v>1905.6</v>
      </c>
    </row>
    <row r="42" spans="1:10" ht="15">
      <c r="A42" s="418" t="s">
        <v>1585</v>
      </c>
      <c r="B42" s="419"/>
      <c r="C42" s="419"/>
      <c r="D42" s="419"/>
      <c r="E42" s="419"/>
      <c r="F42" s="420"/>
      <c r="G42" s="208"/>
      <c r="H42" s="209"/>
      <c r="I42" s="193" t="s">
        <v>9</v>
      </c>
      <c r="J42" s="282">
        <f>2375*(100%+20%)</f>
        <v>2850</v>
      </c>
    </row>
    <row r="43" spans="1:10" ht="15">
      <c r="A43" s="418" t="s">
        <v>1586</v>
      </c>
      <c r="B43" s="419"/>
      <c r="C43" s="419"/>
      <c r="D43" s="419"/>
      <c r="E43" s="419"/>
      <c r="F43" s="420"/>
      <c r="G43" s="208"/>
      <c r="H43" s="209"/>
      <c r="I43" s="193" t="s">
        <v>9</v>
      </c>
      <c r="J43" s="282">
        <f>677*(100%+20%)</f>
        <v>812.4</v>
      </c>
    </row>
    <row r="44" spans="1:10" ht="15">
      <c r="A44" s="418" t="s">
        <v>1587</v>
      </c>
      <c r="B44" s="419"/>
      <c r="C44" s="419"/>
      <c r="D44" s="419"/>
      <c r="E44" s="419"/>
      <c r="F44" s="420"/>
      <c r="G44" s="208"/>
      <c r="H44" s="209"/>
      <c r="I44" s="193" t="s">
        <v>9</v>
      </c>
      <c r="J44" s="282">
        <f>1335*(100%+20%)</f>
        <v>1602</v>
      </c>
    </row>
    <row r="45" spans="1:10" ht="15">
      <c r="A45" s="418" t="s">
        <v>1588</v>
      </c>
      <c r="B45" s="419"/>
      <c r="C45" s="419"/>
      <c r="D45" s="419"/>
      <c r="E45" s="419"/>
      <c r="F45" s="420"/>
      <c r="G45" s="208"/>
      <c r="H45" s="209"/>
      <c r="I45" s="193" t="s">
        <v>9</v>
      </c>
      <c r="J45" s="282">
        <f>1673*(100%+20%)</f>
        <v>2007.6</v>
      </c>
    </row>
    <row r="46" spans="1:10" ht="15">
      <c r="A46" s="418" t="s">
        <v>1589</v>
      </c>
      <c r="B46" s="419"/>
      <c r="C46" s="419"/>
      <c r="D46" s="419"/>
      <c r="E46" s="419"/>
      <c r="F46" s="420"/>
      <c r="G46" s="208"/>
      <c r="H46" s="209"/>
      <c r="I46" s="193" t="s">
        <v>9</v>
      </c>
      <c r="J46" s="282">
        <f>2462*(100%+20%)</f>
        <v>2954.4</v>
      </c>
    </row>
    <row r="47" spans="1:10" ht="15">
      <c r="A47" s="418" t="s">
        <v>1590</v>
      </c>
      <c r="B47" s="419"/>
      <c r="C47" s="419"/>
      <c r="D47" s="419"/>
      <c r="E47" s="419"/>
      <c r="F47" s="420"/>
      <c r="G47" s="208"/>
      <c r="H47" s="209"/>
      <c r="I47" s="193" t="s">
        <v>9</v>
      </c>
      <c r="J47" s="282">
        <f>601*(100%+20%)</f>
        <v>721.1999999999999</v>
      </c>
    </row>
    <row r="48" spans="1:10" ht="15">
      <c r="A48" s="418" t="s">
        <v>1591</v>
      </c>
      <c r="B48" s="419"/>
      <c r="C48" s="419"/>
      <c r="D48" s="419"/>
      <c r="E48" s="419"/>
      <c r="F48" s="420"/>
      <c r="G48" s="208"/>
      <c r="H48" s="209"/>
      <c r="I48" s="193" t="s">
        <v>9</v>
      </c>
      <c r="J48" s="282">
        <f>1141*(100%+20%)</f>
        <v>1369.2</v>
      </c>
    </row>
    <row r="49" spans="1:10" ht="15">
      <c r="A49" s="418" t="s">
        <v>1592</v>
      </c>
      <c r="B49" s="419"/>
      <c r="C49" s="419"/>
      <c r="D49" s="419"/>
      <c r="E49" s="419"/>
      <c r="F49" s="420"/>
      <c r="G49" s="208"/>
      <c r="H49" s="209"/>
      <c r="I49" s="193" t="s">
        <v>9</v>
      </c>
      <c r="J49" s="282">
        <f>1680*(100%+20%)</f>
        <v>2016</v>
      </c>
    </row>
    <row r="50" spans="1:10" ht="15">
      <c r="A50" s="418" t="s">
        <v>1593</v>
      </c>
      <c r="B50" s="419"/>
      <c r="C50" s="419"/>
      <c r="D50" s="419"/>
      <c r="E50" s="419"/>
      <c r="F50" s="420"/>
      <c r="G50" s="208"/>
      <c r="H50" s="209"/>
      <c r="I50" s="193" t="s">
        <v>9</v>
      </c>
      <c r="J50" s="282">
        <f>2086*(100%+20%)</f>
        <v>2503.2</v>
      </c>
    </row>
    <row r="51" spans="1:10" ht="15">
      <c r="A51" s="418" t="s">
        <v>1594</v>
      </c>
      <c r="B51" s="419"/>
      <c r="C51" s="419"/>
      <c r="D51" s="419"/>
      <c r="E51" s="419"/>
      <c r="F51" s="420"/>
      <c r="G51" s="208"/>
      <c r="H51" s="209"/>
      <c r="I51" s="193" t="s">
        <v>9</v>
      </c>
      <c r="J51" s="282">
        <f>775*(100%+20%)</f>
        <v>930</v>
      </c>
    </row>
    <row r="52" spans="1:10" ht="15">
      <c r="A52" s="418" t="s">
        <v>1595</v>
      </c>
      <c r="B52" s="419"/>
      <c r="C52" s="419"/>
      <c r="D52" s="419"/>
      <c r="E52" s="419"/>
      <c r="F52" s="420"/>
      <c r="G52" s="208"/>
      <c r="H52" s="209"/>
      <c r="I52" s="193" t="s">
        <v>9</v>
      </c>
      <c r="J52" s="282">
        <f>1312*(100%+20%)</f>
        <v>1574.3999999999999</v>
      </c>
    </row>
    <row r="53" spans="1:10" ht="15">
      <c r="A53" s="418" t="s">
        <v>1596</v>
      </c>
      <c r="B53" s="419"/>
      <c r="C53" s="419"/>
      <c r="D53" s="419"/>
      <c r="E53" s="419"/>
      <c r="F53" s="420"/>
      <c r="G53" s="208"/>
      <c r="H53" s="209"/>
      <c r="I53" s="193" t="s">
        <v>9</v>
      </c>
      <c r="J53" s="282">
        <f>1766*(100%+20%)</f>
        <v>2119.2</v>
      </c>
    </row>
    <row r="54" spans="1:10" ht="15">
      <c r="A54" s="418" t="s">
        <v>1597</v>
      </c>
      <c r="B54" s="419"/>
      <c r="C54" s="419"/>
      <c r="D54" s="419"/>
      <c r="E54" s="419"/>
      <c r="F54" s="420"/>
      <c r="G54" s="208"/>
      <c r="H54" s="209"/>
      <c r="I54" s="193" t="s">
        <v>9</v>
      </c>
      <c r="J54" s="282">
        <f>2171*(100%+20%)</f>
        <v>2605.2</v>
      </c>
    </row>
    <row r="55" spans="1:10" ht="15">
      <c r="A55" s="418" t="s">
        <v>1598</v>
      </c>
      <c r="B55" s="419"/>
      <c r="C55" s="419"/>
      <c r="D55" s="419"/>
      <c r="E55" s="419"/>
      <c r="F55" s="420"/>
      <c r="G55" s="208"/>
      <c r="H55" s="209"/>
      <c r="I55" s="193" t="s">
        <v>9</v>
      </c>
      <c r="J55" s="282">
        <f>1025*(100%+20%)</f>
        <v>1230</v>
      </c>
    </row>
    <row r="56" spans="1:10" ht="15">
      <c r="A56" s="418" t="s">
        <v>1599</v>
      </c>
      <c r="B56" s="419"/>
      <c r="C56" s="419"/>
      <c r="D56" s="419"/>
      <c r="E56" s="419"/>
      <c r="F56" s="420"/>
      <c r="G56" s="208"/>
      <c r="H56" s="209"/>
      <c r="I56" s="193" t="s">
        <v>9</v>
      </c>
      <c r="J56" s="282">
        <f>1680*(100%+20%)</f>
        <v>2016</v>
      </c>
    </row>
    <row r="57" spans="1:10" ht="15">
      <c r="A57" s="418" t="s">
        <v>1600</v>
      </c>
      <c r="B57" s="419"/>
      <c r="C57" s="419"/>
      <c r="D57" s="419"/>
      <c r="E57" s="419"/>
      <c r="F57" s="420"/>
      <c r="G57" s="208"/>
      <c r="H57" s="209"/>
      <c r="I57" s="193" t="s">
        <v>9</v>
      </c>
      <c r="J57" s="282">
        <f>2086*(100%+20%)</f>
        <v>2503.2</v>
      </c>
    </row>
    <row r="58" spans="1:10" ht="15">
      <c r="A58" s="418" t="s">
        <v>1601</v>
      </c>
      <c r="B58" s="419"/>
      <c r="C58" s="419"/>
      <c r="D58" s="419"/>
      <c r="E58" s="419"/>
      <c r="F58" s="420"/>
      <c r="G58" s="208"/>
      <c r="H58" s="209"/>
      <c r="I58" s="193" t="s">
        <v>9</v>
      </c>
      <c r="J58" s="282">
        <f>1194*(100%+20%)</f>
        <v>1432.8</v>
      </c>
    </row>
    <row r="59" spans="1:10" ht="15">
      <c r="A59" s="418" t="s">
        <v>1602</v>
      </c>
      <c r="B59" s="419"/>
      <c r="C59" s="419"/>
      <c r="D59" s="419"/>
      <c r="E59" s="419"/>
      <c r="F59" s="420"/>
      <c r="G59" s="208"/>
      <c r="H59" s="209"/>
      <c r="I59" s="193" t="s">
        <v>9</v>
      </c>
      <c r="J59" s="282">
        <f>1766*(100%+20%)</f>
        <v>2119.2</v>
      </c>
    </row>
    <row r="60" spans="1:10" ht="15">
      <c r="A60" s="418" t="s">
        <v>1603</v>
      </c>
      <c r="B60" s="419"/>
      <c r="C60" s="419"/>
      <c r="D60" s="419"/>
      <c r="E60" s="419"/>
      <c r="F60" s="420"/>
      <c r="G60" s="208"/>
      <c r="H60" s="209"/>
      <c r="I60" s="193" t="s">
        <v>9</v>
      </c>
      <c r="J60" s="282">
        <f>2171*(100%+20%)</f>
        <v>2605.2</v>
      </c>
    </row>
    <row r="61" spans="1:10" ht="15">
      <c r="A61" s="418" t="s">
        <v>1604</v>
      </c>
      <c r="B61" s="419"/>
      <c r="C61" s="419"/>
      <c r="D61" s="419"/>
      <c r="E61" s="419"/>
      <c r="F61" s="420"/>
      <c r="G61" s="208"/>
      <c r="H61" s="209"/>
      <c r="I61" s="193" t="s">
        <v>9</v>
      </c>
      <c r="J61" s="282">
        <f>4793*(100%+20%)</f>
        <v>5751.599999999999</v>
      </c>
    </row>
    <row r="62" spans="1:10" ht="15">
      <c r="A62" s="418" t="s">
        <v>1605</v>
      </c>
      <c r="B62" s="419"/>
      <c r="C62" s="419"/>
      <c r="D62" s="419"/>
      <c r="E62" s="419"/>
      <c r="F62" s="420"/>
      <c r="G62" s="208"/>
      <c r="H62" s="209"/>
      <c r="I62" s="193" t="s">
        <v>9</v>
      </c>
      <c r="J62" s="282">
        <f>5662*(100%+20%)</f>
        <v>6794.4</v>
      </c>
    </row>
    <row r="63" spans="1:10" ht="15">
      <c r="A63" s="418" t="s">
        <v>1606</v>
      </c>
      <c r="B63" s="419"/>
      <c r="C63" s="419"/>
      <c r="D63" s="419"/>
      <c r="E63" s="419"/>
      <c r="F63" s="420"/>
      <c r="G63" s="208"/>
      <c r="H63" s="209"/>
      <c r="I63" s="193" t="s">
        <v>9</v>
      </c>
      <c r="J63" s="282">
        <f>4868*(100%+20%)</f>
        <v>5841.599999999999</v>
      </c>
    </row>
    <row r="64" spans="1:10" ht="15">
      <c r="A64" s="418" t="s">
        <v>1607</v>
      </c>
      <c r="B64" s="419"/>
      <c r="C64" s="419"/>
      <c r="D64" s="419"/>
      <c r="E64" s="419"/>
      <c r="F64" s="420"/>
      <c r="G64" s="208"/>
      <c r="H64" s="209"/>
      <c r="I64" s="193" t="s">
        <v>9</v>
      </c>
      <c r="J64" s="282">
        <f>5740*(100%+20%)</f>
        <v>6888</v>
      </c>
    </row>
    <row r="65" spans="1:10" ht="15">
      <c r="A65" s="418" t="s">
        <v>1608</v>
      </c>
      <c r="B65" s="419"/>
      <c r="C65" s="419"/>
      <c r="D65" s="419"/>
      <c r="E65" s="419"/>
      <c r="F65" s="420"/>
      <c r="G65" s="208"/>
      <c r="H65" s="209"/>
      <c r="I65" s="193" t="s">
        <v>9</v>
      </c>
      <c r="J65" s="282">
        <f>2143*(100%+20%)</f>
        <v>2571.6</v>
      </c>
    </row>
    <row r="66" spans="1:10" ht="15">
      <c r="A66" s="418" t="s">
        <v>1609</v>
      </c>
      <c r="B66" s="419"/>
      <c r="C66" s="419"/>
      <c r="D66" s="419"/>
      <c r="E66" s="419"/>
      <c r="F66" s="420"/>
      <c r="G66" s="208"/>
      <c r="H66" s="209"/>
      <c r="I66" s="193" t="s">
        <v>9</v>
      </c>
      <c r="J66" s="282">
        <f>3015*(100%+20%)</f>
        <v>3618</v>
      </c>
    </row>
    <row r="67" spans="1:10" ht="15">
      <c r="A67" s="418" t="s">
        <v>1610</v>
      </c>
      <c r="B67" s="419"/>
      <c r="C67" s="419"/>
      <c r="D67" s="419"/>
      <c r="E67" s="419"/>
      <c r="F67" s="420"/>
      <c r="G67" s="208"/>
      <c r="H67" s="209"/>
      <c r="I67" s="193" t="s">
        <v>9</v>
      </c>
      <c r="J67" s="282">
        <f>2219*(100%+20%)</f>
        <v>2662.7999999999997</v>
      </c>
    </row>
    <row r="68" spans="1:10" ht="15">
      <c r="A68" s="418" t="s">
        <v>1611</v>
      </c>
      <c r="B68" s="419"/>
      <c r="C68" s="419"/>
      <c r="D68" s="419"/>
      <c r="E68" s="419"/>
      <c r="F68" s="420"/>
      <c r="G68" s="208"/>
      <c r="H68" s="209"/>
      <c r="I68" s="193" t="s">
        <v>9</v>
      </c>
      <c r="J68" s="282">
        <f>3095*(100%+20%)</f>
        <v>3714</v>
      </c>
    </row>
    <row r="69" spans="1:10" ht="15">
      <c r="A69" s="418" t="s">
        <v>1612</v>
      </c>
      <c r="B69" s="419"/>
      <c r="C69" s="419"/>
      <c r="D69" s="419"/>
      <c r="E69" s="419"/>
      <c r="F69" s="420"/>
      <c r="G69" s="208"/>
      <c r="H69" s="209"/>
      <c r="I69" s="193" t="s">
        <v>9</v>
      </c>
      <c r="J69" s="282">
        <f>3945*(100%+20%)</f>
        <v>4734</v>
      </c>
    </row>
    <row r="70" spans="1:10" ht="15">
      <c r="A70" s="418" t="s">
        <v>1613</v>
      </c>
      <c r="B70" s="419"/>
      <c r="C70" s="419"/>
      <c r="D70" s="419"/>
      <c r="E70" s="419"/>
      <c r="F70" s="420"/>
      <c r="G70" s="208"/>
      <c r="H70" s="209"/>
      <c r="I70" s="193" t="s">
        <v>9</v>
      </c>
      <c r="J70" s="282">
        <f>5678*(100%+20%)</f>
        <v>6813.599999999999</v>
      </c>
    </row>
    <row r="71" spans="1:10" ht="15">
      <c r="A71" s="418" t="s">
        <v>1614</v>
      </c>
      <c r="B71" s="419"/>
      <c r="C71" s="419"/>
      <c r="D71" s="419"/>
      <c r="E71" s="419"/>
      <c r="F71" s="420"/>
      <c r="G71" s="208"/>
      <c r="H71" s="209"/>
      <c r="I71" s="193" t="s">
        <v>9</v>
      </c>
      <c r="J71" s="282">
        <f>4020*(100%+20%)</f>
        <v>4824</v>
      </c>
    </row>
    <row r="72" spans="1:10" ht="15">
      <c r="A72" s="418" t="s">
        <v>1615</v>
      </c>
      <c r="B72" s="419"/>
      <c r="C72" s="419"/>
      <c r="D72" s="419"/>
      <c r="E72" s="419"/>
      <c r="F72" s="420"/>
      <c r="G72" s="208"/>
      <c r="H72" s="209"/>
      <c r="I72" s="193" t="s">
        <v>9</v>
      </c>
      <c r="J72" s="282">
        <f>5760*(100%+20%)</f>
        <v>6912</v>
      </c>
    </row>
    <row r="73" spans="1:10" ht="15">
      <c r="A73" s="418" t="s">
        <v>1616</v>
      </c>
      <c r="B73" s="419"/>
      <c r="C73" s="419"/>
      <c r="D73" s="419"/>
      <c r="E73" s="419"/>
      <c r="F73" s="420"/>
      <c r="G73" s="208"/>
      <c r="H73" s="209"/>
      <c r="I73" s="193" t="s">
        <v>9</v>
      </c>
      <c r="J73" s="282">
        <f>1460*(100%+20%)</f>
        <v>1752</v>
      </c>
    </row>
    <row r="74" spans="1:10" ht="15">
      <c r="A74" s="418" t="s">
        <v>1617</v>
      </c>
      <c r="B74" s="419"/>
      <c r="C74" s="419"/>
      <c r="D74" s="419"/>
      <c r="E74" s="419"/>
      <c r="F74" s="420"/>
      <c r="G74" s="208"/>
      <c r="H74" s="209"/>
      <c r="I74" s="193" t="s">
        <v>9</v>
      </c>
      <c r="J74" s="282">
        <f>2734*(100%+20%)</f>
        <v>3280.7999999999997</v>
      </c>
    </row>
    <row r="75" spans="1:10" ht="15">
      <c r="A75" s="418" t="s">
        <v>1618</v>
      </c>
      <c r="B75" s="419"/>
      <c r="C75" s="419"/>
      <c r="D75" s="419"/>
      <c r="E75" s="419"/>
      <c r="F75" s="420"/>
      <c r="G75" s="208"/>
      <c r="H75" s="209"/>
      <c r="I75" s="193" t="s">
        <v>9</v>
      </c>
      <c r="J75" s="282">
        <f>1536*(100%+20%)</f>
        <v>1843.1999999999998</v>
      </c>
    </row>
    <row r="76" spans="1:10" ht="15">
      <c r="A76" s="418" t="s">
        <v>1619</v>
      </c>
      <c r="B76" s="419"/>
      <c r="C76" s="419"/>
      <c r="D76" s="419"/>
      <c r="E76" s="419"/>
      <c r="F76" s="420"/>
      <c r="G76" s="208"/>
      <c r="H76" s="209"/>
      <c r="I76" s="193" t="s">
        <v>9</v>
      </c>
      <c r="J76" s="282">
        <f>2815*(100%+20%)</f>
        <v>3378</v>
      </c>
    </row>
    <row r="77" spans="1:10" ht="15">
      <c r="A77" s="418" t="s">
        <v>1620</v>
      </c>
      <c r="B77" s="419"/>
      <c r="C77" s="419"/>
      <c r="D77" s="419"/>
      <c r="E77" s="419"/>
      <c r="F77" s="420"/>
      <c r="G77" s="208"/>
      <c r="H77" s="209"/>
      <c r="I77" s="193" t="s">
        <v>9</v>
      </c>
      <c r="J77" s="282">
        <f>1792*(100%+20%)</f>
        <v>2150.4</v>
      </c>
    </row>
    <row r="78" spans="1:10" ht="15">
      <c r="A78" s="418" t="s">
        <v>1621</v>
      </c>
      <c r="B78" s="419"/>
      <c r="C78" s="419"/>
      <c r="D78" s="419"/>
      <c r="E78" s="419"/>
      <c r="F78" s="420"/>
      <c r="G78" s="208"/>
      <c r="H78" s="209"/>
      <c r="I78" s="193" t="s">
        <v>9</v>
      </c>
      <c r="J78" s="282">
        <f>3451*(100%+20%)</f>
        <v>4141.2</v>
      </c>
    </row>
    <row r="79" spans="1:10" ht="15">
      <c r="A79" s="418" t="s">
        <v>1622</v>
      </c>
      <c r="B79" s="419"/>
      <c r="C79" s="419"/>
      <c r="D79" s="419"/>
      <c r="E79" s="419"/>
      <c r="F79" s="420"/>
      <c r="G79" s="208"/>
      <c r="H79" s="209"/>
      <c r="I79" s="193" t="s">
        <v>9</v>
      </c>
      <c r="J79" s="282">
        <f>1868*(100%+20%)</f>
        <v>2241.6</v>
      </c>
    </row>
    <row r="80" spans="1:10" ht="15">
      <c r="A80" s="418" t="s">
        <v>1623</v>
      </c>
      <c r="B80" s="419"/>
      <c r="C80" s="419"/>
      <c r="D80" s="419"/>
      <c r="E80" s="419"/>
      <c r="F80" s="420"/>
      <c r="G80" s="208"/>
      <c r="H80" s="209"/>
      <c r="I80" s="193" t="s">
        <v>9</v>
      </c>
      <c r="J80" s="282">
        <f>3535*(100%+20%)</f>
        <v>4242</v>
      </c>
    </row>
    <row r="81" spans="1:10" ht="15">
      <c r="A81" s="418" t="s">
        <v>1624</v>
      </c>
      <c r="B81" s="419"/>
      <c r="C81" s="419"/>
      <c r="D81" s="419"/>
      <c r="E81" s="419"/>
      <c r="F81" s="420"/>
      <c r="G81" s="208"/>
      <c r="H81" s="209"/>
      <c r="I81" s="193" t="s">
        <v>9</v>
      </c>
      <c r="J81" s="282">
        <f>2437*(100%+20%)</f>
        <v>2924.4</v>
      </c>
    </row>
    <row r="82" spans="1:10" ht="15">
      <c r="A82" s="418" t="s">
        <v>1625</v>
      </c>
      <c r="B82" s="419"/>
      <c r="C82" s="419"/>
      <c r="D82" s="419"/>
      <c r="E82" s="419"/>
      <c r="F82" s="420"/>
      <c r="G82" s="208"/>
      <c r="H82" s="209"/>
      <c r="I82" s="193" t="s">
        <v>9</v>
      </c>
      <c r="J82" s="282">
        <f>3712*(100%+20%)</f>
        <v>4454.4</v>
      </c>
    </row>
    <row r="83" spans="1:10" ht="15">
      <c r="A83" s="418" t="s">
        <v>1626</v>
      </c>
      <c r="B83" s="419"/>
      <c r="C83" s="419"/>
      <c r="D83" s="419"/>
      <c r="E83" s="419"/>
      <c r="F83" s="420"/>
      <c r="G83" s="208"/>
      <c r="H83" s="209"/>
      <c r="I83" s="193" t="s">
        <v>9</v>
      </c>
      <c r="J83" s="282">
        <f>2510*(100%+20%)</f>
        <v>3012</v>
      </c>
    </row>
    <row r="84" spans="1:10" ht="15">
      <c r="A84" s="418" t="s">
        <v>1627</v>
      </c>
      <c r="B84" s="419"/>
      <c r="C84" s="419"/>
      <c r="D84" s="419"/>
      <c r="E84" s="419"/>
      <c r="F84" s="420"/>
      <c r="G84" s="208"/>
      <c r="H84" s="209"/>
      <c r="I84" s="193" t="s">
        <v>9</v>
      </c>
      <c r="J84" s="282">
        <f>3792*(100%+20%)</f>
        <v>4550.4</v>
      </c>
    </row>
    <row r="85" spans="1:10" ht="15">
      <c r="A85" s="418" t="s">
        <v>1628</v>
      </c>
      <c r="B85" s="419"/>
      <c r="C85" s="419"/>
      <c r="D85" s="419"/>
      <c r="E85" s="419"/>
      <c r="F85" s="420"/>
      <c r="G85" s="208"/>
      <c r="H85" s="209"/>
      <c r="I85" s="193" t="s">
        <v>9</v>
      </c>
      <c r="J85" s="282">
        <f>2528*(100%+20%)</f>
        <v>3033.6</v>
      </c>
    </row>
    <row r="86" spans="1:10" ht="15">
      <c r="A86" s="418" t="s">
        <v>1629</v>
      </c>
      <c r="B86" s="419"/>
      <c r="C86" s="419"/>
      <c r="D86" s="419"/>
      <c r="E86" s="419"/>
      <c r="F86" s="420"/>
      <c r="G86" s="208"/>
      <c r="H86" s="209"/>
      <c r="I86" s="193" t="s">
        <v>9</v>
      </c>
      <c r="J86" s="282">
        <f>3801*(100%+20%)</f>
        <v>4561.2</v>
      </c>
    </row>
    <row r="87" spans="1:10" ht="15">
      <c r="A87" s="418" t="s">
        <v>1630</v>
      </c>
      <c r="B87" s="419"/>
      <c r="C87" s="419"/>
      <c r="D87" s="419"/>
      <c r="E87" s="419"/>
      <c r="F87" s="420"/>
      <c r="G87" s="208"/>
      <c r="H87" s="209"/>
      <c r="I87" s="193" t="s">
        <v>9</v>
      </c>
      <c r="J87" s="282">
        <f>2603*(100%+20%)</f>
        <v>3123.6</v>
      </c>
    </row>
    <row r="88" spans="1:10" ht="15">
      <c r="A88" s="418" t="s">
        <v>1631</v>
      </c>
      <c r="B88" s="419"/>
      <c r="C88" s="419"/>
      <c r="D88" s="419"/>
      <c r="E88" s="419"/>
      <c r="F88" s="420"/>
      <c r="G88" s="208"/>
      <c r="H88" s="209"/>
      <c r="I88" s="193" t="s">
        <v>9</v>
      </c>
      <c r="J88" s="282">
        <f>3883*(100%+20%)</f>
        <v>4659.599999999999</v>
      </c>
    </row>
    <row r="89" spans="1:10" ht="15">
      <c r="A89" s="418" t="s">
        <v>1632</v>
      </c>
      <c r="B89" s="419"/>
      <c r="C89" s="419"/>
      <c r="D89" s="419"/>
      <c r="E89" s="419"/>
      <c r="F89" s="420"/>
      <c r="G89" s="208"/>
      <c r="H89" s="209"/>
      <c r="I89" s="193" t="s">
        <v>9</v>
      </c>
      <c r="J89" s="282">
        <f>2795*(100%+20%)</f>
        <v>3354</v>
      </c>
    </row>
    <row r="90" spans="1:10" ht="15">
      <c r="A90" s="418" t="s">
        <v>1633</v>
      </c>
      <c r="B90" s="419"/>
      <c r="C90" s="419"/>
      <c r="D90" s="419"/>
      <c r="E90" s="419"/>
      <c r="F90" s="420"/>
      <c r="G90" s="208"/>
      <c r="H90" s="209"/>
      <c r="I90" s="193" t="s">
        <v>9</v>
      </c>
      <c r="J90" s="282">
        <f>3663*(100%+20%)</f>
        <v>4395.599999999999</v>
      </c>
    </row>
    <row r="91" spans="1:10" ht="15">
      <c r="A91" s="418" t="s">
        <v>1634</v>
      </c>
      <c r="B91" s="419"/>
      <c r="C91" s="419"/>
      <c r="D91" s="419"/>
      <c r="E91" s="419"/>
      <c r="F91" s="420"/>
      <c r="G91" s="208"/>
      <c r="H91" s="209"/>
      <c r="I91" s="193" t="s">
        <v>9</v>
      </c>
      <c r="J91" s="282">
        <f>2868*(100%+20%)</f>
        <v>3441.6</v>
      </c>
    </row>
    <row r="92" spans="1:10" ht="15">
      <c r="A92" s="418" t="s">
        <v>1635</v>
      </c>
      <c r="B92" s="419"/>
      <c r="C92" s="419"/>
      <c r="D92" s="419"/>
      <c r="E92" s="419"/>
      <c r="F92" s="420"/>
      <c r="G92" s="208"/>
      <c r="H92" s="209"/>
      <c r="I92" s="193" t="s">
        <v>9</v>
      </c>
      <c r="J92" s="282">
        <f>3747*(100%+20%)</f>
        <v>4496.4</v>
      </c>
    </row>
    <row r="93" spans="1:10" ht="15">
      <c r="A93" s="418" t="s">
        <v>1636</v>
      </c>
      <c r="B93" s="419"/>
      <c r="C93" s="419"/>
      <c r="D93" s="419"/>
      <c r="E93" s="419"/>
      <c r="F93" s="420"/>
      <c r="G93" s="208"/>
      <c r="H93" s="209"/>
      <c r="I93" s="193" t="s">
        <v>9</v>
      </c>
      <c r="J93" s="282">
        <f>2102*(100%+20%)</f>
        <v>2522.4</v>
      </c>
    </row>
    <row r="94" spans="1:10" ht="15">
      <c r="A94" s="418" t="s">
        <v>1637</v>
      </c>
      <c r="B94" s="419"/>
      <c r="C94" s="419"/>
      <c r="D94" s="419"/>
      <c r="E94" s="419"/>
      <c r="F94" s="420"/>
      <c r="G94" s="208"/>
      <c r="H94" s="209"/>
      <c r="I94" s="193" t="s">
        <v>9</v>
      </c>
      <c r="J94" s="282">
        <f>2973*(100%+20%)</f>
        <v>3567.6</v>
      </c>
    </row>
    <row r="95" spans="1:10" ht="15">
      <c r="A95" s="418" t="s">
        <v>1638</v>
      </c>
      <c r="B95" s="419"/>
      <c r="C95" s="419"/>
      <c r="D95" s="419"/>
      <c r="E95" s="419"/>
      <c r="F95" s="420"/>
      <c r="G95" s="208"/>
      <c r="H95" s="209"/>
      <c r="I95" s="193" t="s">
        <v>9</v>
      </c>
      <c r="J95" s="282">
        <f>2176*(100%+20%)</f>
        <v>2611.2</v>
      </c>
    </row>
    <row r="96" spans="1:10" ht="15">
      <c r="A96" s="418" t="s">
        <v>1639</v>
      </c>
      <c r="B96" s="419"/>
      <c r="C96" s="419"/>
      <c r="D96" s="419"/>
      <c r="E96" s="419"/>
      <c r="F96" s="420"/>
      <c r="G96" s="208"/>
      <c r="H96" s="209"/>
      <c r="I96" s="193" t="s">
        <v>9</v>
      </c>
      <c r="J96" s="282">
        <f>3055*(100%+20%)</f>
        <v>3666</v>
      </c>
    </row>
    <row r="97" spans="1:10" ht="15">
      <c r="A97" s="418" t="s">
        <v>1640</v>
      </c>
      <c r="B97" s="419"/>
      <c r="C97" s="419"/>
      <c r="D97" s="419"/>
      <c r="E97" s="419"/>
      <c r="F97" s="420"/>
      <c r="G97" s="208"/>
      <c r="H97" s="209"/>
      <c r="I97" s="193" t="s">
        <v>9</v>
      </c>
      <c r="J97" s="282">
        <f>2470*(100%+20%)</f>
        <v>2964</v>
      </c>
    </row>
    <row r="98" spans="1:10" ht="15">
      <c r="A98" s="418" t="s">
        <v>1641</v>
      </c>
      <c r="B98" s="419"/>
      <c r="C98" s="419"/>
      <c r="D98" s="419"/>
      <c r="E98" s="419"/>
      <c r="F98" s="420"/>
      <c r="G98" s="208"/>
      <c r="H98" s="209"/>
      <c r="I98" s="193" t="s">
        <v>9</v>
      </c>
      <c r="J98" s="282">
        <f>3747*(100%+20%)</f>
        <v>4496.4</v>
      </c>
    </row>
    <row r="99" spans="1:10" ht="15">
      <c r="A99" s="418" t="s">
        <v>1642</v>
      </c>
      <c r="B99" s="419"/>
      <c r="C99" s="419"/>
      <c r="D99" s="419"/>
      <c r="E99" s="419"/>
      <c r="F99" s="420"/>
      <c r="G99" s="208"/>
      <c r="H99" s="209"/>
      <c r="I99" s="193" t="s">
        <v>9</v>
      </c>
      <c r="J99" s="282">
        <f>2545*(100%+20%)</f>
        <v>3054</v>
      </c>
    </row>
    <row r="100" spans="1:10" ht="15">
      <c r="A100" s="418" t="s">
        <v>1643</v>
      </c>
      <c r="B100" s="419"/>
      <c r="C100" s="419"/>
      <c r="D100" s="419"/>
      <c r="E100" s="419"/>
      <c r="F100" s="420"/>
      <c r="G100" s="208"/>
      <c r="H100" s="209"/>
      <c r="I100" s="193" t="s">
        <v>9</v>
      </c>
      <c r="J100" s="282">
        <f>3828*(100%+20%)</f>
        <v>4593.599999999999</v>
      </c>
    </row>
    <row r="101" spans="1:10" ht="15">
      <c r="A101" s="418" t="s">
        <v>1644</v>
      </c>
      <c r="B101" s="419"/>
      <c r="C101" s="419"/>
      <c r="D101" s="419"/>
      <c r="E101" s="419"/>
      <c r="F101" s="420"/>
      <c r="G101" s="208"/>
      <c r="H101" s="209"/>
      <c r="I101" s="193" t="s">
        <v>9</v>
      </c>
      <c r="J101" s="282">
        <f>2225*(100%+20%)</f>
        <v>2670</v>
      </c>
    </row>
    <row r="102" spans="1:10" ht="15">
      <c r="A102" s="418" t="s">
        <v>1645</v>
      </c>
      <c r="B102" s="419"/>
      <c r="C102" s="419"/>
      <c r="D102" s="419"/>
      <c r="E102" s="419"/>
      <c r="F102" s="420"/>
      <c r="G102" s="208"/>
      <c r="H102" s="209"/>
      <c r="I102" s="193" t="s">
        <v>9</v>
      </c>
      <c r="J102" s="282">
        <f>3499*(100%+20%)</f>
        <v>4198.8</v>
      </c>
    </row>
    <row r="103" spans="1:10" ht="15">
      <c r="A103" s="418" t="s">
        <v>1646</v>
      </c>
      <c r="B103" s="419"/>
      <c r="C103" s="419"/>
      <c r="D103" s="419"/>
      <c r="E103" s="419"/>
      <c r="F103" s="420"/>
      <c r="G103" s="208"/>
      <c r="H103" s="209"/>
      <c r="I103" s="193" t="s">
        <v>9</v>
      </c>
      <c r="J103" s="282">
        <f>2298*(100%+20%)</f>
        <v>2757.6</v>
      </c>
    </row>
    <row r="104" spans="1:10" ht="15">
      <c r="A104" s="418" t="s">
        <v>1647</v>
      </c>
      <c r="B104" s="419"/>
      <c r="C104" s="419"/>
      <c r="D104" s="419"/>
      <c r="E104" s="419"/>
      <c r="F104" s="420"/>
      <c r="G104" s="208"/>
      <c r="H104" s="209"/>
      <c r="I104" s="193" t="s">
        <v>9</v>
      </c>
      <c r="J104" s="282">
        <f>3582*(100%+20%)</f>
        <v>4298.4</v>
      </c>
    </row>
    <row r="105" spans="1:10" ht="15">
      <c r="A105" s="418" t="s">
        <v>1648</v>
      </c>
      <c r="B105" s="419"/>
      <c r="C105" s="419"/>
      <c r="D105" s="419"/>
      <c r="E105" s="419"/>
      <c r="F105" s="420"/>
      <c r="G105" s="208"/>
      <c r="H105" s="209"/>
      <c r="I105" s="193" t="s">
        <v>9</v>
      </c>
      <c r="J105" s="282">
        <f>2729*(100%+20%)</f>
        <v>3274.7999999999997</v>
      </c>
    </row>
    <row r="106" spans="1:10" ht="15">
      <c r="A106" s="418" t="s">
        <v>1649</v>
      </c>
      <c r="B106" s="419"/>
      <c r="C106" s="419"/>
      <c r="D106" s="419"/>
      <c r="E106" s="419"/>
      <c r="F106" s="420"/>
      <c r="G106" s="208"/>
      <c r="H106" s="209"/>
      <c r="I106" s="193" t="s">
        <v>9</v>
      </c>
      <c r="J106" s="282">
        <f>3599*(100%+20%)</f>
        <v>4318.8</v>
      </c>
    </row>
    <row r="107" spans="1:10" ht="15">
      <c r="A107" s="418" t="s">
        <v>1650</v>
      </c>
      <c r="B107" s="419"/>
      <c r="C107" s="419"/>
      <c r="D107" s="419"/>
      <c r="E107" s="419"/>
      <c r="F107" s="420"/>
      <c r="G107" s="208"/>
      <c r="H107" s="209"/>
      <c r="I107" s="193" t="s">
        <v>9</v>
      </c>
      <c r="J107" s="282">
        <f>2806*(100%+20%)</f>
        <v>3367.2</v>
      </c>
    </row>
    <row r="108" spans="1:10" ht="15">
      <c r="A108" s="418" t="s">
        <v>1651</v>
      </c>
      <c r="B108" s="419"/>
      <c r="C108" s="419"/>
      <c r="D108" s="419"/>
      <c r="E108" s="419"/>
      <c r="F108" s="420"/>
      <c r="G108" s="208"/>
      <c r="H108" s="209"/>
      <c r="I108" s="193" t="s">
        <v>9</v>
      </c>
      <c r="J108" s="282">
        <f>3680*(100%+20%)</f>
        <v>4416</v>
      </c>
    </row>
    <row r="109" spans="1:10" ht="15">
      <c r="A109" s="418" t="s">
        <v>1652</v>
      </c>
      <c r="B109" s="419"/>
      <c r="C109" s="419"/>
      <c r="D109" s="419"/>
      <c r="E109" s="419"/>
      <c r="F109" s="420"/>
      <c r="G109" s="208"/>
      <c r="H109" s="209"/>
      <c r="I109" s="193" t="s">
        <v>9</v>
      </c>
      <c r="J109" s="282">
        <f>2729*(100%+20%)</f>
        <v>3274.7999999999997</v>
      </c>
    </row>
    <row r="110" spans="1:10" ht="15">
      <c r="A110" s="418" t="s">
        <v>1653</v>
      </c>
      <c r="B110" s="419"/>
      <c r="C110" s="419"/>
      <c r="D110" s="419"/>
      <c r="E110" s="419"/>
      <c r="F110" s="420"/>
      <c r="G110" s="208"/>
      <c r="H110" s="209"/>
      <c r="I110" s="193" t="s">
        <v>9</v>
      </c>
      <c r="J110" s="282">
        <f>3599*(100%+20%)</f>
        <v>4318.8</v>
      </c>
    </row>
    <row r="111" spans="1:10" ht="15">
      <c r="A111" s="418" t="s">
        <v>1654</v>
      </c>
      <c r="B111" s="419"/>
      <c r="C111" s="419"/>
      <c r="D111" s="419"/>
      <c r="E111" s="419"/>
      <c r="F111" s="420"/>
      <c r="G111" s="208"/>
      <c r="H111" s="209"/>
      <c r="I111" s="193" t="s">
        <v>9</v>
      </c>
      <c r="J111" s="282">
        <f>2806*(100%+20%)</f>
        <v>3367.2</v>
      </c>
    </row>
    <row r="112" spans="1:10" ht="15.75" thickBot="1">
      <c r="A112" s="424" t="s">
        <v>1655</v>
      </c>
      <c r="B112" s="425"/>
      <c r="C112" s="425"/>
      <c r="D112" s="425"/>
      <c r="E112" s="425"/>
      <c r="F112" s="426"/>
      <c r="G112" s="210"/>
      <c r="H112" s="211"/>
      <c r="I112" s="212" t="s">
        <v>9</v>
      </c>
      <c r="J112" s="283">
        <f>3680*(100%+20%)</f>
        <v>4416</v>
      </c>
    </row>
    <row r="113" spans="1:10" ht="18.75" thickBot="1">
      <c r="A113" s="434" t="s">
        <v>1656</v>
      </c>
      <c r="B113" s="435"/>
      <c r="C113" s="435"/>
      <c r="D113" s="435"/>
      <c r="E113" s="435"/>
      <c r="F113" s="435"/>
      <c r="G113" s="435"/>
      <c r="H113" s="435"/>
      <c r="I113" s="435"/>
      <c r="J113" s="436"/>
    </row>
    <row r="114" spans="1:10" ht="30" customHeight="1" thickBot="1">
      <c r="A114" s="437" t="s">
        <v>97</v>
      </c>
      <c r="B114" s="438"/>
      <c r="C114" s="438"/>
      <c r="D114" s="438"/>
      <c r="E114" s="438"/>
      <c r="F114" s="438"/>
      <c r="G114" s="439"/>
      <c r="H114" s="197"/>
      <c r="I114" s="198" t="s">
        <v>2185</v>
      </c>
      <c r="J114" s="199" t="s">
        <v>2186</v>
      </c>
    </row>
    <row r="115" spans="1:10" ht="15">
      <c r="A115" s="418" t="s">
        <v>1657</v>
      </c>
      <c r="B115" s="419"/>
      <c r="C115" s="419"/>
      <c r="D115" s="419"/>
      <c r="E115" s="419"/>
      <c r="F115" s="420"/>
      <c r="G115" s="208"/>
      <c r="H115" s="209"/>
      <c r="I115" s="207" t="s">
        <v>9</v>
      </c>
      <c r="J115" s="282">
        <f>2101*(100%+20%)</f>
        <v>2521.2</v>
      </c>
    </row>
    <row r="116" spans="1:10" ht="15">
      <c r="A116" s="418" t="s">
        <v>1658</v>
      </c>
      <c r="B116" s="419"/>
      <c r="C116" s="419"/>
      <c r="D116" s="419"/>
      <c r="E116" s="419"/>
      <c r="F116" s="420"/>
      <c r="G116" s="208"/>
      <c r="H116" s="209"/>
      <c r="I116" s="193" t="s">
        <v>9</v>
      </c>
      <c r="J116" s="282">
        <f>2440*(100%+20%)</f>
        <v>2928</v>
      </c>
    </row>
    <row r="117" spans="1:10" ht="15">
      <c r="A117" s="418" t="s">
        <v>1659</v>
      </c>
      <c r="B117" s="419"/>
      <c r="C117" s="419"/>
      <c r="D117" s="419"/>
      <c r="E117" s="419"/>
      <c r="F117" s="420"/>
      <c r="G117" s="208"/>
      <c r="H117" s="209"/>
      <c r="I117" s="193" t="s">
        <v>9</v>
      </c>
      <c r="J117" s="282">
        <f>1882*(100%+20%)</f>
        <v>2258.4</v>
      </c>
    </row>
    <row r="118" spans="1:10" ht="15">
      <c r="A118" s="418" t="s">
        <v>1660</v>
      </c>
      <c r="B118" s="419"/>
      <c r="C118" s="419"/>
      <c r="D118" s="419"/>
      <c r="E118" s="419"/>
      <c r="F118" s="420"/>
      <c r="G118" s="208"/>
      <c r="H118" s="209"/>
      <c r="I118" s="193" t="s">
        <v>9</v>
      </c>
      <c r="J118" s="282">
        <f>2090*(100%+20%)</f>
        <v>2508</v>
      </c>
    </row>
    <row r="119" spans="1:10" ht="15">
      <c r="A119" s="418" t="s">
        <v>1661</v>
      </c>
      <c r="B119" s="419"/>
      <c r="C119" s="419"/>
      <c r="D119" s="419"/>
      <c r="E119" s="419"/>
      <c r="F119" s="420"/>
      <c r="G119" s="208"/>
      <c r="H119" s="209"/>
      <c r="I119" s="193" t="s">
        <v>9</v>
      </c>
      <c r="J119" s="282">
        <f>1808*(100%+20%)</f>
        <v>2169.6</v>
      </c>
    </row>
    <row r="120" spans="1:10" ht="15">
      <c r="A120" s="418" t="s">
        <v>1662</v>
      </c>
      <c r="B120" s="419"/>
      <c r="C120" s="419"/>
      <c r="D120" s="419"/>
      <c r="E120" s="419"/>
      <c r="F120" s="420"/>
      <c r="G120" s="208"/>
      <c r="H120" s="209"/>
      <c r="I120" s="193" t="s">
        <v>9</v>
      </c>
      <c r="J120" s="282">
        <f>2080*(100%+20%)</f>
        <v>2496</v>
      </c>
    </row>
    <row r="121" spans="1:10" ht="15">
      <c r="A121" s="418" t="s">
        <v>1663</v>
      </c>
      <c r="B121" s="419"/>
      <c r="C121" s="419"/>
      <c r="D121" s="419"/>
      <c r="E121" s="419"/>
      <c r="F121" s="420"/>
      <c r="G121" s="208"/>
      <c r="H121" s="209"/>
      <c r="I121" s="193" t="s">
        <v>9</v>
      </c>
      <c r="J121" s="282">
        <f>1633*(100%+20%)</f>
        <v>1959.6</v>
      </c>
    </row>
    <row r="122" spans="1:10" ht="15">
      <c r="A122" s="418" t="s">
        <v>1664</v>
      </c>
      <c r="B122" s="419"/>
      <c r="C122" s="419"/>
      <c r="D122" s="419"/>
      <c r="E122" s="419"/>
      <c r="F122" s="420"/>
      <c r="G122" s="208"/>
      <c r="H122" s="209"/>
      <c r="I122" s="193" t="s">
        <v>9</v>
      </c>
      <c r="J122" s="282">
        <f>1799*(100%+20%)</f>
        <v>2158.7999999999997</v>
      </c>
    </row>
    <row r="123" spans="1:10" ht="15">
      <c r="A123" s="418" t="s">
        <v>1665</v>
      </c>
      <c r="B123" s="419"/>
      <c r="C123" s="419"/>
      <c r="D123" s="419"/>
      <c r="E123" s="419"/>
      <c r="F123" s="420"/>
      <c r="G123" s="208"/>
      <c r="H123" s="209"/>
      <c r="I123" s="193" t="s">
        <v>9</v>
      </c>
      <c r="J123" s="282">
        <f>1454*(100%+20%)</f>
        <v>1744.8</v>
      </c>
    </row>
    <row r="124" spans="1:10" ht="15">
      <c r="A124" s="418" t="s">
        <v>1666</v>
      </c>
      <c r="B124" s="419"/>
      <c r="C124" s="419"/>
      <c r="D124" s="419"/>
      <c r="E124" s="419"/>
      <c r="F124" s="420"/>
      <c r="G124" s="208"/>
      <c r="H124" s="209"/>
      <c r="I124" s="193" t="s">
        <v>9</v>
      </c>
      <c r="J124" s="282">
        <f>1522*(100%+20%)</f>
        <v>1826.3999999999999</v>
      </c>
    </row>
    <row r="125" spans="1:10" ht="15">
      <c r="A125" s="418" t="s">
        <v>1667</v>
      </c>
      <c r="B125" s="419"/>
      <c r="C125" s="419"/>
      <c r="D125" s="419"/>
      <c r="E125" s="419"/>
      <c r="F125" s="420"/>
      <c r="G125" s="208"/>
      <c r="H125" s="209"/>
      <c r="I125" s="193" t="s">
        <v>9</v>
      </c>
      <c r="J125" s="282">
        <f>1411*(100%+20%)</f>
        <v>1693.2</v>
      </c>
    </row>
    <row r="126" spans="1:10" ht="15">
      <c r="A126" s="418" t="s">
        <v>1668</v>
      </c>
      <c r="B126" s="419"/>
      <c r="C126" s="419"/>
      <c r="D126" s="419"/>
      <c r="E126" s="419"/>
      <c r="F126" s="420"/>
      <c r="G126" s="208"/>
      <c r="H126" s="209"/>
      <c r="I126" s="193" t="s">
        <v>9</v>
      </c>
      <c r="J126" s="282">
        <f>1451*(100%+20%)</f>
        <v>1741.2</v>
      </c>
    </row>
    <row r="127" spans="1:10" ht="15">
      <c r="A127" s="418" t="s">
        <v>1669</v>
      </c>
      <c r="B127" s="419"/>
      <c r="C127" s="419"/>
      <c r="D127" s="419"/>
      <c r="E127" s="419"/>
      <c r="F127" s="420"/>
      <c r="G127" s="208"/>
      <c r="H127" s="209"/>
      <c r="I127" s="193" t="s">
        <v>9</v>
      </c>
      <c r="J127" s="282">
        <f>2745*(100%+20%)</f>
        <v>3294</v>
      </c>
    </row>
    <row r="128" spans="1:10" ht="15">
      <c r="A128" s="418" t="s">
        <v>1670</v>
      </c>
      <c r="B128" s="419"/>
      <c r="C128" s="419"/>
      <c r="D128" s="419"/>
      <c r="E128" s="419"/>
      <c r="F128" s="420"/>
      <c r="G128" s="208"/>
      <c r="H128" s="209"/>
      <c r="I128" s="193" t="s">
        <v>9</v>
      </c>
      <c r="J128" s="282">
        <f>3084*(100%+20%)</f>
        <v>3700.7999999999997</v>
      </c>
    </row>
    <row r="129" spans="1:10" ht="15">
      <c r="A129" s="418" t="s">
        <v>1671</v>
      </c>
      <c r="B129" s="419"/>
      <c r="C129" s="419"/>
      <c r="D129" s="419"/>
      <c r="E129" s="419"/>
      <c r="F129" s="420"/>
      <c r="G129" s="208"/>
      <c r="H129" s="209"/>
      <c r="I129" s="193" t="s">
        <v>9</v>
      </c>
      <c r="J129" s="282">
        <f>2525*(100%+20%)</f>
        <v>3030</v>
      </c>
    </row>
    <row r="130" spans="1:10" ht="15">
      <c r="A130" s="418" t="s">
        <v>1672</v>
      </c>
      <c r="B130" s="419"/>
      <c r="C130" s="419"/>
      <c r="D130" s="419"/>
      <c r="E130" s="419"/>
      <c r="F130" s="420"/>
      <c r="G130" s="208"/>
      <c r="H130" s="209"/>
      <c r="I130" s="193" t="s">
        <v>9</v>
      </c>
      <c r="J130" s="282">
        <f>2733*(100%+20%)</f>
        <v>3279.6</v>
      </c>
    </row>
    <row r="131" spans="1:10" ht="15">
      <c r="A131" s="418" t="s">
        <v>1673</v>
      </c>
      <c r="B131" s="419"/>
      <c r="C131" s="419"/>
      <c r="D131" s="419"/>
      <c r="E131" s="419"/>
      <c r="F131" s="420"/>
      <c r="G131" s="208"/>
      <c r="H131" s="209"/>
      <c r="I131" s="193" t="s">
        <v>9</v>
      </c>
      <c r="J131" s="282">
        <f>2451*(100%+20%)</f>
        <v>2941.2</v>
      </c>
    </row>
    <row r="132" spans="1:10" ht="15">
      <c r="A132" s="418" t="s">
        <v>1674</v>
      </c>
      <c r="B132" s="419"/>
      <c r="C132" s="419"/>
      <c r="D132" s="419"/>
      <c r="E132" s="419"/>
      <c r="F132" s="420"/>
      <c r="G132" s="208"/>
      <c r="H132" s="209"/>
      <c r="I132" s="193" t="s">
        <v>9</v>
      </c>
      <c r="J132" s="282">
        <f>2723*(100%+20%)</f>
        <v>3267.6</v>
      </c>
    </row>
    <row r="133" spans="1:10" ht="15">
      <c r="A133" s="418" t="s">
        <v>1675</v>
      </c>
      <c r="B133" s="419"/>
      <c r="C133" s="419"/>
      <c r="D133" s="419"/>
      <c r="E133" s="419"/>
      <c r="F133" s="420"/>
      <c r="G133" s="208"/>
      <c r="H133" s="209"/>
      <c r="I133" s="193" t="s">
        <v>9</v>
      </c>
      <c r="J133" s="282">
        <f>2276*(100%+20%)</f>
        <v>2731.2</v>
      </c>
    </row>
    <row r="134" spans="1:10" ht="15">
      <c r="A134" s="418" t="s">
        <v>1676</v>
      </c>
      <c r="B134" s="419"/>
      <c r="C134" s="419"/>
      <c r="D134" s="419"/>
      <c r="E134" s="419"/>
      <c r="F134" s="420"/>
      <c r="G134" s="208"/>
      <c r="H134" s="209"/>
      <c r="I134" s="193" t="s">
        <v>9</v>
      </c>
      <c r="J134" s="282">
        <f>2442*(100%+20%)</f>
        <v>2930.4</v>
      </c>
    </row>
    <row r="135" spans="1:10" ht="15">
      <c r="A135" s="418" t="s">
        <v>1677</v>
      </c>
      <c r="B135" s="419"/>
      <c r="C135" s="419"/>
      <c r="D135" s="419"/>
      <c r="E135" s="419"/>
      <c r="F135" s="420"/>
      <c r="G135" s="208"/>
      <c r="H135" s="209"/>
      <c r="I135" s="193" t="s">
        <v>9</v>
      </c>
      <c r="J135" s="282">
        <f>2014*(100%+20%)</f>
        <v>2416.7999999999997</v>
      </c>
    </row>
    <row r="136" spans="1:10" ht="15">
      <c r="A136" s="418" t="s">
        <v>1678</v>
      </c>
      <c r="B136" s="419"/>
      <c r="C136" s="419"/>
      <c r="D136" s="419"/>
      <c r="E136" s="419"/>
      <c r="F136" s="420"/>
      <c r="G136" s="208"/>
      <c r="H136" s="209"/>
      <c r="I136" s="193" t="s">
        <v>9</v>
      </c>
      <c r="J136" s="282">
        <f>2353*(100%+20%)</f>
        <v>2823.6</v>
      </c>
    </row>
    <row r="137" spans="1:10" ht="15">
      <c r="A137" s="418" t="s">
        <v>1679</v>
      </c>
      <c r="B137" s="419"/>
      <c r="C137" s="419"/>
      <c r="D137" s="419"/>
      <c r="E137" s="419"/>
      <c r="F137" s="420"/>
      <c r="G137" s="208"/>
      <c r="H137" s="209"/>
      <c r="I137" s="193" t="s">
        <v>9</v>
      </c>
      <c r="J137" s="282">
        <f>1795*(100%+20%)</f>
        <v>2154</v>
      </c>
    </row>
    <row r="138" spans="1:10" ht="15">
      <c r="A138" s="418" t="s">
        <v>1680</v>
      </c>
      <c r="B138" s="419"/>
      <c r="C138" s="419"/>
      <c r="D138" s="419"/>
      <c r="E138" s="419"/>
      <c r="F138" s="420"/>
      <c r="G138" s="208"/>
      <c r="H138" s="209"/>
      <c r="I138" s="193" t="s">
        <v>9</v>
      </c>
      <c r="J138" s="282">
        <f>2002*(100%+20%)</f>
        <v>2402.4</v>
      </c>
    </row>
    <row r="139" spans="1:10" ht="15">
      <c r="A139" s="418" t="s">
        <v>1681</v>
      </c>
      <c r="B139" s="419"/>
      <c r="C139" s="419"/>
      <c r="D139" s="419"/>
      <c r="E139" s="419"/>
      <c r="F139" s="420"/>
      <c r="G139" s="208"/>
      <c r="H139" s="209"/>
      <c r="I139" s="193" t="s">
        <v>9</v>
      </c>
      <c r="J139" s="282">
        <f>1721*(100%+20%)</f>
        <v>2065.2</v>
      </c>
    </row>
    <row r="140" spans="1:10" ht="15">
      <c r="A140" s="418" t="s">
        <v>1682</v>
      </c>
      <c r="B140" s="419"/>
      <c r="C140" s="419"/>
      <c r="D140" s="419"/>
      <c r="E140" s="419"/>
      <c r="F140" s="420"/>
      <c r="G140" s="208"/>
      <c r="H140" s="209"/>
      <c r="I140" s="193" t="s">
        <v>9</v>
      </c>
      <c r="J140" s="282">
        <f>1993*(100%+20%)</f>
        <v>2391.6</v>
      </c>
    </row>
    <row r="141" spans="1:10" ht="15">
      <c r="A141" s="418" t="s">
        <v>1683</v>
      </c>
      <c r="B141" s="419"/>
      <c r="C141" s="419"/>
      <c r="D141" s="419"/>
      <c r="E141" s="419"/>
      <c r="F141" s="420"/>
      <c r="G141" s="208"/>
      <c r="H141" s="209"/>
      <c r="I141" s="193" t="s">
        <v>9</v>
      </c>
      <c r="J141" s="282">
        <f>1545*(100%+20%)</f>
        <v>1854</v>
      </c>
    </row>
    <row r="142" spans="1:10" ht="15">
      <c r="A142" s="418" t="s">
        <v>1684</v>
      </c>
      <c r="B142" s="419"/>
      <c r="C142" s="419"/>
      <c r="D142" s="419"/>
      <c r="E142" s="419"/>
      <c r="F142" s="420"/>
      <c r="G142" s="208"/>
      <c r="H142" s="209"/>
      <c r="I142" s="193" t="s">
        <v>9</v>
      </c>
      <c r="J142" s="282">
        <f>1711*(100%+20%)</f>
        <v>2053.2</v>
      </c>
    </row>
    <row r="143" spans="1:10" ht="15">
      <c r="A143" s="418" t="s">
        <v>1685</v>
      </c>
      <c r="B143" s="419"/>
      <c r="C143" s="419"/>
      <c r="D143" s="419"/>
      <c r="E143" s="419"/>
      <c r="F143" s="420"/>
      <c r="G143" s="208"/>
      <c r="H143" s="209"/>
      <c r="I143" s="193" t="s">
        <v>9</v>
      </c>
      <c r="J143" s="282">
        <f>1327*(100%+20%)</f>
        <v>1592.3999999999999</v>
      </c>
    </row>
    <row r="144" spans="1:10" ht="15">
      <c r="A144" s="418" t="s">
        <v>1686</v>
      </c>
      <c r="B144" s="419"/>
      <c r="C144" s="419"/>
      <c r="D144" s="419"/>
      <c r="E144" s="419"/>
      <c r="F144" s="420"/>
      <c r="G144" s="208"/>
      <c r="H144" s="209"/>
      <c r="I144" s="193" t="s">
        <v>9</v>
      </c>
      <c r="J144" s="282">
        <f>1368*(100%+20%)</f>
        <v>1641.6</v>
      </c>
    </row>
    <row r="145" spans="1:10" ht="15">
      <c r="A145" s="418" t="s">
        <v>1687</v>
      </c>
      <c r="B145" s="419"/>
      <c r="C145" s="419"/>
      <c r="D145" s="419"/>
      <c r="E145" s="419"/>
      <c r="F145" s="420"/>
      <c r="G145" s="208"/>
      <c r="H145" s="209"/>
      <c r="I145" s="193" t="s">
        <v>9</v>
      </c>
      <c r="J145" s="282">
        <f>1301*(100%+20%)</f>
        <v>1561.2</v>
      </c>
    </row>
    <row r="146" spans="1:10" ht="15">
      <c r="A146" s="418" t="s">
        <v>1688</v>
      </c>
      <c r="B146" s="419"/>
      <c r="C146" s="419"/>
      <c r="D146" s="419"/>
      <c r="E146" s="419"/>
      <c r="F146" s="420"/>
      <c r="G146" s="208"/>
      <c r="H146" s="209"/>
      <c r="I146" s="193" t="s">
        <v>9</v>
      </c>
      <c r="J146" s="282">
        <f>1326*(100%+20%)</f>
        <v>1591.2</v>
      </c>
    </row>
    <row r="147" spans="1:10" ht="15">
      <c r="A147" s="418" t="s">
        <v>1689</v>
      </c>
      <c r="B147" s="419"/>
      <c r="C147" s="419"/>
      <c r="D147" s="419"/>
      <c r="E147" s="419"/>
      <c r="F147" s="420"/>
      <c r="G147" s="208"/>
      <c r="H147" s="209"/>
      <c r="I147" s="193" t="s">
        <v>9</v>
      </c>
      <c r="J147" s="282">
        <f>2386*(100%+20%)</f>
        <v>2863.2</v>
      </c>
    </row>
    <row r="148" spans="1:10" ht="15">
      <c r="A148" s="418" t="s">
        <v>1690</v>
      </c>
      <c r="B148" s="419"/>
      <c r="C148" s="419"/>
      <c r="D148" s="419"/>
      <c r="E148" s="419"/>
      <c r="F148" s="420"/>
      <c r="G148" s="208"/>
      <c r="H148" s="209"/>
      <c r="I148" s="193" t="s">
        <v>9</v>
      </c>
      <c r="J148" s="282">
        <f>2658*(100%+20%)</f>
        <v>3189.6</v>
      </c>
    </row>
    <row r="149" spans="1:10" ht="15">
      <c r="A149" s="418" t="s">
        <v>1691</v>
      </c>
      <c r="B149" s="419"/>
      <c r="C149" s="419"/>
      <c r="D149" s="419"/>
      <c r="E149" s="419"/>
      <c r="F149" s="420"/>
      <c r="G149" s="208"/>
      <c r="H149" s="209"/>
      <c r="I149" s="193" t="s">
        <v>9</v>
      </c>
      <c r="J149" s="282">
        <f>2209*(100%+20%)</f>
        <v>2650.7999999999997</v>
      </c>
    </row>
    <row r="150" spans="1:10" ht="15">
      <c r="A150" s="418" t="s">
        <v>1692</v>
      </c>
      <c r="B150" s="419"/>
      <c r="C150" s="419"/>
      <c r="D150" s="419"/>
      <c r="E150" s="419"/>
      <c r="F150" s="420"/>
      <c r="G150" s="208"/>
      <c r="H150" s="209"/>
      <c r="I150" s="193" t="s">
        <v>9</v>
      </c>
      <c r="J150" s="282">
        <f>2378*(100%+20%)</f>
        <v>2853.6</v>
      </c>
    </row>
    <row r="151" spans="1:10" ht="15">
      <c r="A151" s="418" t="s">
        <v>1693</v>
      </c>
      <c r="B151" s="419"/>
      <c r="C151" s="419"/>
      <c r="D151" s="419"/>
      <c r="E151" s="419"/>
      <c r="F151" s="420"/>
      <c r="G151" s="208"/>
      <c r="H151" s="209"/>
      <c r="I151" s="193" t="s">
        <v>9</v>
      </c>
      <c r="J151" s="282">
        <f>1838*(100%+20%)</f>
        <v>2205.6</v>
      </c>
    </row>
    <row r="152" spans="1:10" ht="15">
      <c r="A152" s="418" t="s">
        <v>1694</v>
      </c>
      <c r="B152" s="419"/>
      <c r="C152" s="419"/>
      <c r="D152" s="419"/>
      <c r="E152" s="419"/>
      <c r="F152" s="420"/>
      <c r="G152" s="208"/>
      <c r="H152" s="209"/>
      <c r="I152" s="193" t="s">
        <v>9</v>
      </c>
      <c r="J152" s="282">
        <f>2176*(100%+20%)</f>
        <v>2611.2</v>
      </c>
    </row>
    <row r="153" spans="1:10" ht="15">
      <c r="A153" s="418" t="s">
        <v>1695</v>
      </c>
      <c r="B153" s="419"/>
      <c r="C153" s="419"/>
      <c r="D153" s="419"/>
      <c r="E153" s="419"/>
      <c r="F153" s="420"/>
      <c r="G153" s="208"/>
      <c r="H153" s="209"/>
      <c r="I153" s="193" t="s">
        <v>9</v>
      </c>
      <c r="J153" s="282">
        <f>1621*(100%+20%)</f>
        <v>1945.1999999999998</v>
      </c>
    </row>
    <row r="154" spans="1:10" ht="15">
      <c r="A154" s="418" t="s">
        <v>1696</v>
      </c>
      <c r="B154" s="419"/>
      <c r="C154" s="419"/>
      <c r="D154" s="419"/>
      <c r="E154" s="419"/>
      <c r="F154" s="420"/>
      <c r="G154" s="208"/>
      <c r="H154" s="209"/>
      <c r="I154" s="193" t="s">
        <v>9</v>
      </c>
      <c r="J154" s="282">
        <f>1827*(100%+20%)</f>
        <v>2192.4</v>
      </c>
    </row>
    <row r="155" spans="1:10" ht="15">
      <c r="A155" s="418" t="s">
        <v>1697</v>
      </c>
      <c r="B155" s="419"/>
      <c r="C155" s="419"/>
      <c r="D155" s="419"/>
      <c r="E155" s="419"/>
      <c r="F155" s="420"/>
      <c r="G155" s="208"/>
      <c r="H155" s="209"/>
      <c r="I155" s="193" t="s">
        <v>9</v>
      </c>
      <c r="J155" s="282">
        <f>1545*(100%+20%)</f>
        <v>1854</v>
      </c>
    </row>
    <row r="156" spans="1:10" ht="15">
      <c r="A156" s="418" t="s">
        <v>1698</v>
      </c>
      <c r="B156" s="419"/>
      <c r="C156" s="419"/>
      <c r="D156" s="419"/>
      <c r="E156" s="419"/>
      <c r="F156" s="420"/>
      <c r="G156" s="208"/>
      <c r="H156" s="209"/>
      <c r="I156" s="193" t="s">
        <v>9</v>
      </c>
      <c r="J156" s="282">
        <f>1817*(100%+20%)</f>
        <v>2180.4</v>
      </c>
    </row>
    <row r="157" spans="1:10" ht="15">
      <c r="A157" s="418" t="s">
        <v>1699</v>
      </c>
      <c r="B157" s="419"/>
      <c r="C157" s="419"/>
      <c r="D157" s="419"/>
      <c r="E157" s="419"/>
      <c r="F157" s="420"/>
      <c r="G157" s="208"/>
      <c r="H157" s="209"/>
      <c r="I157" s="193" t="s">
        <v>9</v>
      </c>
      <c r="J157" s="282">
        <f>1370*(100%+20%)</f>
        <v>1644</v>
      </c>
    </row>
    <row r="158" spans="1:10" ht="15">
      <c r="A158" s="418" t="s">
        <v>1700</v>
      </c>
      <c r="B158" s="419"/>
      <c r="C158" s="419"/>
      <c r="D158" s="419"/>
      <c r="E158" s="419"/>
      <c r="F158" s="420"/>
      <c r="G158" s="208"/>
      <c r="H158" s="209"/>
      <c r="I158" s="193" t="s">
        <v>9</v>
      </c>
      <c r="J158" s="282">
        <f>1538*(100%+20%)</f>
        <v>1845.6</v>
      </c>
    </row>
    <row r="159" spans="1:10" ht="15">
      <c r="A159" s="418" t="s">
        <v>1701</v>
      </c>
      <c r="B159" s="419"/>
      <c r="C159" s="419"/>
      <c r="D159" s="419"/>
      <c r="E159" s="419"/>
      <c r="F159" s="420"/>
      <c r="G159" s="208"/>
      <c r="H159" s="209"/>
      <c r="I159" s="193" t="s">
        <v>9</v>
      </c>
      <c r="J159" s="282">
        <f>1171*(100%+20%)</f>
        <v>1405.2</v>
      </c>
    </row>
    <row r="160" spans="1:10" ht="15">
      <c r="A160" s="418" t="s">
        <v>1702</v>
      </c>
      <c r="B160" s="419"/>
      <c r="C160" s="419"/>
      <c r="D160" s="419"/>
      <c r="E160" s="419"/>
      <c r="F160" s="420"/>
      <c r="G160" s="208"/>
      <c r="H160" s="209"/>
      <c r="I160" s="193" t="s">
        <v>9</v>
      </c>
      <c r="J160" s="282">
        <f>1226*(100%+20%)</f>
        <v>1471.2</v>
      </c>
    </row>
    <row r="161" spans="1:10" ht="15">
      <c r="A161" s="418" t="s">
        <v>1703</v>
      </c>
      <c r="B161" s="419"/>
      <c r="C161" s="419"/>
      <c r="D161" s="419"/>
      <c r="E161" s="419"/>
      <c r="F161" s="420"/>
      <c r="G161" s="208"/>
      <c r="H161" s="209"/>
      <c r="I161" s="193" t="s">
        <v>9</v>
      </c>
      <c r="J161" s="282">
        <f>1135*(100%+20%)</f>
        <v>1362</v>
      </c>
    </row>
    <row r="162" spans="1:10" ht="15">
      <c r="A162" s="418" t="s">
        <v>1704</v>
      </c>
      <c r="B162" s="419"/>
      <c r="C162" s="419"/>
      <c r="D162" s="419"/>
      <c r="E162" s="419"/>
      <c r="F162" s="420"/>
      <c r="G162" s="208"/>
      <c r="H162" s="209"/>
      <c r="I162" s="193" t="s">
        <v>9</v>
      </c>
      <c r="J162" s="282">
        <f>1169*(100%+20%)</f>
        <v>1402.8</v>
      </c>
    </row>
    <row r="163" spans="1:10" ht="15">
      <c r="A163" s="418" t="s">
        <v>1705</v>
      </c>
      <c r="B163" s="419"/>
      <c r="C163" s="419"/>
      <c r="D163" s="419"/>
      <c r="E163" s="419"/>
      <c r="F163" s="420"/>
      <c r="G163" s="208"/>
      <c r="H163" s="209"/>
      <c r="I163" s="193" t="s">
        <v>9</v>
      </c>
      <c r="J163" s="282">
        <f>2135*(100%+20%)</f>
        <v>2562</v>
      </c>
    </row>
    <row r="164" spans="1:10" ht="15">
      <c r="A164" s="418" t="s">
        <v>1706</v>
      </c>
      <c r="B164" s="419"/>
      <c r="C164" s="419"/>
      <c r="D164" s="419"/>
      <c r="E164" s="419"/>
      <c r="F164" s="420"/>
      <c r="G164" s="208"/>
      <c r="H164" s="209"/>
      <c r="I164" s="193" t="s">
        <v>9</v>
      </c>
      <c r="J164" s="282">
        <f>2475*(100%+20%)</f>
        <v>2970</v>
      </c>
    </row>
    <row r="165" spans="1:10" ht="15">
      <c r="A165" s="418" t="s">
        <v>1707</v>
      </c>
      <c r="B165" s="419"/>
      <c r="C165" s="419"/>
      <c r="D165" s="419"/>
      <c r="E165" s="419"/>
      <c r="F165" s="420"/>
      <c r="G165" s="208"/>
      <c r="H165" s="209"/>
      <c r="I165" s="193" t="s">
        <v>9</v>
      </c>
      <c r="J165" s="282">
        <f>1919*(100%+20%)</f>
        <v>2302.7999999999997</v>
      </c>
    </row>
    <row r="166" spans="1:10" ht="15">
      <c r="A166" s="418" t="s">
        <v>1708</v>
      </c>
      <c r="B166" s="419"/>
      <c r="C166" s="419"/>
      <c r="D166" s="419"/>
      <c r="E166" s="419"/>
      <c r="F166" s="420"/>
      <c r="G166" s="208"/>
      <c r="H166" s="209"/>
      <c r="I166" s="193" t="s">
        <v>9</v>
      </c>
      <c r="J166" s="282">
        <f>2124*(100%+20%)</f>
        <v>2548.7999999999997</v>
      </c>
    </row>
    <row r="167" spans="1:10" ht="15">
      <c r="A167" s="418" t="s">
        <v>1709</v>
      </c>
      <c r="B167" s="419"/>
      <c r="C167" s="419"/>
      <c r="D167" s="419"/>
      <c r="E167" s="419"/>
      <c r="F167" s="420"/>
      <c r="G167" s="208"/>
      <c r="H167" s="209"/>
      <c r="I167" s="193" t="s">
        <v>9</v>
      </c>
      <c r="J167" s="282">
        <f>1844*(100%+20%)</f>
        <v>2212.7999999999997</v>
      </c>
    </row>
    <row r="168" spans="1:10" ht="15">
      <c r="A168" s="418" t="s">
        <v>1710</v>
      </c>
      <c r="B168" s="419"/>
      <c r="C168" s="419"/>
      <c r="D168" s="419"/>
      <c r="E168" s="419"/>
      <c r="F168" s="420"/>
      <c r="G168" s="208"/>
      <c r="H168" s="209"/>
      <c r="I168" s="193" t="s">
        <v>9</v>
      </c>
      <c r="J168" s="282">
        <f>2114*(100%+20%)</f>
        <v>2536.7999999999997</v>
      </c>
    </row>
    <row r="169" spans="1:10" ht="15">
      <c r="A169" s="424" t="s">
        <v>1711</v>
      </c>
      <c r="B169" s="425"/>
      <c r="C169" s="425"/>
      <c r="D169" s="425"/>
      <c r="E169" s="425"/>
      <c r="F169" s="426"/>
      <c r="G169" s="208"/>
      <c r="H169" s="209"/>
      <c r="I169" s="193" t="s">
        <v>9</v>
      </c>
      <c r="J169" s="282">
        <f>1667*(100%+20%)</f>
        <v>2000.3999999999999</v>
      </c>
    </row>
    <row r="170" spans="1:10" ht="15">
      <c r="A170" s="421" t="s">
        <v>1712</v>
      </c>
      <c r="B170" s="422"/>
      <c r="C170" s="422"/>
      <c r="D170" s="422"/>
      <c r="E170" s="422"/>
      <c r="F170" s="423"/>
      <c r="G170" s="208"/>
      <c r="H170" s="209"/>
      <c r="I170" s="193" t="s">
        <v>9</v>
      </c>
      <c r="J170" s="282">
        <f>1835*(100%+20%)</f>
        <v>2202</v>
      </c>
    </row>
    <row r="171" spans="1:10" ht="15">
      <c r="A171" s="418" t="s">
        <v>1713</v>
      </c>
      <c r="B171" s="419"/>
      <c r="C171" s="419"/>
      <c r="D171" s="419"/>
      <c r="E171" s="419"/>
      <c r="F171" s="420"/>
      <c r="G171" s="208"/>
      <c r="H171" s="209"/>
      <c r="I171" s="193" t="s">
        <v>9</v>
      </c>
      <c r="J171" s="282">
        <f>1743*(100%+20%)</f>
        <v>2091.6</v>
      </c>
    </row>
    <row r="172" spans="1:10" ht="15">
      <c r="A172" s="418" t="s">
        <v>1714</v>
      </c>
      <c r="B172" s="419"/>
      <c r="C172" s="419"/>
      <c r="D172" s="419"/>
      <c r="E172" s="419"/>
      <c r="F172" s="420"/>
      <c r="G172" s="208"/>
      <c r="H172" s="209"/>
      <c r="I172" s="193" t="s">
        <v>9</v>
      </c>
      <c r="J172" s="282">
        <f>2081*(100%+20%)</f>
        <v>2497.2</v>
      </c>
    </row>
    <row r="173" spans="1:10" ht="15">
      <c r="A173" s="418" t="s">
        <v>1715</v>
      </c>
      <c r="B173" s="419"/>
      <c r="C173" s="419"/>
      <c r="D173" s="419"/>
      <c r="E173" s="419"/>
      <c r="F173" s="420"/>
      <c r="G173" s="208"/>
      <c r="H173" s="209"/>
      <c r="I173" s="193" t="s">
        <v>9</v>
      </c>
      <c r="J173" s="282">
        <f>1523*(100%+20%)</f>
        <v>1827.6</v>
      </c>
    </row>
    <row r="174" spans="1:10" ht="15">
      <c r="A174" s="418" t="s">
        <v>1716</v>
      </c>
      <c r="B174" s="419"/>
      <c r="C174" s="419"/>
      <c r="D174" s="419"/>
      <c r="E174" s="419"/>
      <c r="F174" s="420"/>
      <c r="G174" s="208"/>
      <c r="H174" s="209"/>
      <c r="I174" s="193" t="s">
        <v>9</v>
      </c>
      <c r="J174" s="282">
        <f>1732*(100%+20%)</f>
        <v>2078.4</v>
      </c>
    </row>
    <row r="175" spans="1:10" ht="15">
      <c r="A175" s="418" t="s">
        <v>1717</v>
      </c>
      <c r="B175" s="419"/>
      <c r="C175" s="419"/>
      <c r="D175" s="419"/>
      <c r="E175" s="419"/>
      <c r="F175" s="420"/>
      <c r="G175" s="208"/>
      <c r="H175" s="209"/>
      <c r="I175" s="193" t="s">
        <v>9</v>
      </c>
      <c r="J175" s="282">
        <f>1450*(100%+20%)</f>
        <v>1740</v>
      </c>
    </row>
    <row r="176" spans="1:10" ht="15">
      <c r="A176" s="418" t="s">
        <v>1718</v>
      </c>
      <c r="B176" s="419"/>
      <c r="C176" s="419"/>
      <c r="D176" s="419"/>
      <c r="E176" s="419"/>
      <c r="F176" s="420"/>
      <c r="G176" s="208"/>
      <c r="H176" s="209"/>
      <c r="I176" s="193" t="s">
        <v>9</v>
      </c>
      <c r="J176" s="282">
        <f>1721*(100%+20%)</f>
        <v>2065.2</v>
      </c>
    </row>
    <row r="177" spans="1:10" ht="15">
      <c r="A177" s="418" t="s">
        <v>1719</v>
      </c>
      <c r="B177" s="419"/>
      <c r="C177" s="419"/>
      <c r="D177" s="419"/>
      <c r="E177" s="419"/>
      <c r="F177" s="420"/>
      <c r="G177" s="208"/>
      <c r="H177" s="209"/>
      <c r="I177" s="193" t="s">
        <v>9</v>
      </c>
      <c r="J177" s="282">
        <f>1274*(100%+20%)</f>
        <v>1528.8</v>
      </c>
    </row>
    <row r="178" spans="1:10" ht="15">
      <c r="A178" s="418" t="s">
        <v>1720</v>
      </c>
      <c r="B178" s="419"/>
      <c r="C178" s="419"/>
      <c r="D178" s="419"/>
      <c r="E178" s="419"/>
      <c r="F178" s="420"/>
      <c r="G178" s="208"/>
      <c r="H178" s="209"/>
      <c r="I178" s="193" t="s">
        <v>9</v>
      </c>
      <c r="J178" s="282">
        <f>1440*(100%+20%)</f>
        <v>1728</v>
      </c>
    </row>
    <row r="179" spans="1:10" ht="15">
      <c r="A179" s="418" t="s">
        <v>1721</v>
      </c>
      <c r="B179" s="419"/>
      <c r="C179" s="419"/>
      <c r="D179" s="419"/>
      <c r="E179" s="419"/>
      <c r="F179" s="420"/>
      <c r="G179" s="208"/>
      <c r="H179" s="209"/>
      <c r="I179" s="193" t="s">
        <v>9</v>
      </c>
      <c r="J179" s="282">
        <f>1123*(100%+20%)</f>
        <v>1347.6</v>
      </c>
    </row>
    <row r="180" spans="1:10" ht="15">
      <c r="A180" s="418" t="s">
        <v>1722</v>
      </c>
      <c r="B180" s="419"/>
      <c r="C180" s="419"/>
      <c r="D180" s="419"/>
      <c r="E180" s="419"/>
      <c r="F180" s="420"/>
      <c r="G180" s="208"/>
      <c r="H180" s="209"/>
      <c r="I180" s="193" t="s">
        <v>9</v>
      </c>
      <c r="J180" s="282">
        <f>1205*(100%+20%)</f>
        <v>1446</v>
      </c>
    </row>
    <row r="181" spans="1:10" ht="15">
      <c r="A181" s="418" t="s">
        <v>1723</v>
      </c>
      <c r="B181" s="419"/>
      <c r="C181" s="419"/>
      <c r="D181" s="419"/>
      <c r="E181" s="419"/>
      <c r="F181" s="420"/>
      <c r="G181" s="208"/>
      <c r="H181" s="209"/>
      <c r="I181" s="193" t="s">
        <v>9</v>
      </c>
      <c r="J181" s="282">
        <f>1069*(100%+20%)</f>
        <v>1282.8</v>
      </c>
    </row>
    <row r="182" spans="1:10" ht="15">
      <c r="A182" s="418" t="s">
        <v>1724</v>
      </c>
      <c r="B182" s="419"/>
      <c r="C182" s="419"/>
      <c r="D182" s="419"/>
      <c r="E182" s="419"/>
      <c r="F182" s="420"/>
      <c r="G182" s="208"/>
      <c r="H182" s="209"/>
      <c r="I182" s="193" t="s">
        <v>9</v>
      </c>
      <c r="J182" s="282">
        <f>1122*(100%+20%)</f>
        <v>1346.3999999999999</v>
      </c>
    </row>
    <row r="183" spans="1:10" ht="15">
      <c r="A183" s="418" t="s">
        <v>1725</v>
      </c>
      <c r="B183" s="419"/>
      <c r="C183" s="419"/>
      <c r="D183" s="419"/>
      <c r="E183" s="419"/>
      <c r="F183" s="420"/>
      <c r="G183" s="208"/>
      <c r="H183" s="209"/>
      <c r="I183" s="193" t="s">
        <v>9</v>
      </c>
      <c r="J183" s="282">
        <f>2276*(100%+20%)</f>
        <v>2731.2</v>
      </c>
    </row>
    <row r="184" spans="1:10" ht="15">
      <c r="A184" s="418" t="s">
        <v>1726</v>
      </c>
      <c r="B184" s="419"/>
      <c r="C184" s="419"/>
      <c r="D184" s="419"/>
      <c r="E184" s="419"/>
      <c r="F184" s="420"/>
      <c r="G184" s="208"/>
      <c r="H184" s="209"/>
      <c r="I184" s="193" t="s">
        <v>9</v>
      </c>
      <c r="J184" s="282">
        <f>2547*(100%+20%)</f>
        <v>3056.4</v>
      </c>
    </row>
    <row r="185" spans="1:10" ht="15">
      <c r="A185" s="418" t="s">
        <v>1727</v>
      </c>
      <c r="B185" s="419"/>
      <c r="C185" s="419"/>
      <c r="D185" s="419"/>
      <c r="E185" s="419"/>
      <c r="F185" s="420"/>
      <c r="G185" s="208"/>
      <c r="H185" s="209"/>
      <c r="I185" s="193" t="s">
        <v>9</v>
      </c>
      <c r="J185" s="282">
        <f>2101*(100%+20%)</f>
        <v>2521.2</v>
      </c>
    </row>
    <row r="186" spans="1:10" ht="15">
      <c r="A186" s="418" t="s">
        <v>1728</v>
      </c>
      <c r="B186" s="419"/>
      <c r="C186" s="419"/>
      <c r="D186" s="419"/>
      <c r="E186" s="419"/>
      <c r="F186" s="420"/>
      <c r="G186" s="208"/>
      <c r="H186" s="209"/>
      <c r="I186" s="193" t="s">
        <v>9</v>
      </c>
      <c r="J186" s="282">
        <f>2268*(100%+20%)</f>
        <v>2721.6</v>
      </c>
    </row>
    <row r="187" spans="1:10" ht="15">
      <c r="A187" s="418" t="s">
        <v>1729</v>
      </c>
      <c r="B187" s="419"/>
      <c r="C187" s="419"/>
      <c r="D187" s="419"/>
      <c r="E187" s="419"/>
      <c r="F187" s="420"/>
      <c r="G187" s="208"/>
      <c r="H187" s="209"/>
      <c r="I187" s="193" t="s">
        <v>9</v>
      </c>
      <c r="J187" s="282">
        <f>2276*(100%+20%)</f>
        <v>2731.2</v>
      </c>
    </row>
    <row r="188" spans="1:10" ht="15">
      <c r="A188" s="418" t="s">
        <v>1730</v>
      </c>
      <c r="B188" s="419"/>
      <c r="C188" s="419"/>
      <c r="D188" s="419"/>
      <c r="E188" s="419"/>
      <c r="F188" s="420"/>
      <c r="G188" s="208"/>
      <c r="H188" s="209"/>
      <c r="I188" s="193" t="s">
        <v>9</v>
      </c>
      <c r="J188" s="282">
        <f>2547*(100%+20%)</f>
        <v>3056.4</v>
      </c>
    </row>
    <row r="189" spans="1:10" ht="15">
      <c r="A189" s="418" t="s">
        <v>1731</v>
      </c>
      <c r="B189" s="419"/>
      <c r="C189" s="419"/>
      <c r="D189" s="419"/>
      <c r="E189" s="419"/>
      <c r="F189" s="420"/>
      <c r="G189" s="208"/>
      <c r="H189" s="209"/>
      <c r="I189" s="193" t="s">
        <v>9</v>
      </c>
      <c r="J189" s="282">
        <f>2101*(100%+20%)</f>
        <v>2521.2</v>
      </c>
    </row>
    <row r="190" spans="1:10" ht="15">
      <c r="A190" s="418" t="s">
        <v>1732</v>
      </c>
      <c r="B190" s="419"/>
      <c r="C190" s="419"/>
      <c r="D190" s="419"/>
      <c r="E190" s="419"/>
      <c r="F190" s="420"/>
      <c r="G190" s="208"/>
      <c r="H190" s="209"/>
      <c r="I190" s="193" t="s">
        <v>9</v>
      </c>
      <c r="J190" s="282">
        <f>2268*(100%+20%)</f>
        <v>2721.6</v>
      </c>
    </row>
    <row r="191" spans="1:10" ht="15">
      <c r="A191" s="418" t="s">
        <v>1733</v>
      </c>
      <c r="B191" s="419"/>
      <c r="C191" s="419"/>
      <c r="D191" s="419"/>
      <c r="E191" s="419"/>
      <c r="F191" s="420"/>
      <c r="G191" s="208"/>
      <c r="H191" s="209"/>
      <c r="I191" s="193" t="s">
        <v>9</v>
      </c>
      <c r="J191" s="282">
        <f>2342*(100%+20%)</f>
        <v>2810.4</v>
      </c>
    </row>
    <row r="192" spans="1:10" ht="15">
      <c r="A192" s="418" t="s">
        <v>1734</v>
      </c>
      <c r="B192" s="419"/>
      <c r="C192" s="419"/>
      <c r="D192" s="419"/>
      <c r="E192" s="419"/>
      <c r="F192" s="420"/>
      <c r="G192" s="208"/>
      <c r="H192" s="209"/>
      <c r="I192" s="193" t="s">
        <v>9</v>
      </c>
      <c r="J192" s="282">
        <f>2680*(100%+20%)</f>
        <v>3216</v>
      </c>
    </row>
    <row r="193" spans="1:10" ht="15">
      <c r="A193" s="418" t="s">
        <v>1735</v>
      </c>
      <c r="B193" s="419"/>
      <c r="C193" s="419"/>
      <c r="D193" s="419"/>
      <c r="E193" s="419"/>
      <c r="F193" s="420"/>
      <c r="G193" s="208"/>
      <c r="H193" s="209"/>
      <c r="I193" s="193" t="s">
        <v>9</v>
      </c>
      <c r="J193" s="282">
        <f>2123*(100%+20%)</f>
        <v>2547.6</v>
      </c>
    </row>
    <row r="194" spans="1:10" ht="15">
      <c r="A194" s="418" t="s">
        <v>1736</v>
      </c>
      <c r="B194" s="419"/>
      <c r="C194" s="419"/>
      <c r="D194" s="419"/>
      <c r="E194" s="419"/>
      <c r="F194" s="420"/>
      <c r="G194" s="208"/>
      <c r="H194" s="209"/>
      <c r="I194" s="193" t="s">
        <v>9</v>
      </c>
      <c r="J194" s="282">
        <f>2331*(100%+20%)</f>
        <v>2797.2</v>
      </c>
    </row>
    <row r="195" spans="1:10" ht="15">
      <c r="A195" s="418" t="s">
        <v>1737</v>
      </c>
      <c r="B195" s="419"/>
      <c r="C195" s="419"/>
      <c r="D195" s="419"/>
      <c r="E195" s="419"/>
      <c r="F195" s="420"/>
      <c r="G195" s="208"/>
      <c r="H195" s="209"/>
      <c r="I195" s="193" t="s">
        <v>9</v>
      </c>
      <c r="J195" s="282">
        <f>2048*(100%+20%)</f>
        <v>2457.6</v>
      </c>
    </row>
    <row r="196" spans="1:10" ht="15">
      <c r="A196" s="418" t="s">
        <v>1738</v>
      </c>
      <c r="B196" s="419"/>
      <c r="C196" s="419"/>
      <c r="D196" s="419"/>
      <c r="E196" s="419"/>
      <c r="F196" s="420"/>
      <c r="G196" s="208"/>
      <c r="H196" s="209"/>
      <c r="I196" s="193" t="s">
        <v>9</v>
      </c>
      <c r="J196" s="282">
        <f>2320*(100%+20%)</f>
        <v>2784</v>
      </c>
    </row>
    <row r="197" spans="1:10" ht="15">
      <c r="A197" s="418" t="s">
        <v>1739</v>
      </c>
      <c r="B197" s="419"/>
      <c r="C197" s="419"/>
      <c r="D197" s="419"/>
      <c r="E197" s="419"/>
      <c r="F197" s="420"/>
      <c r="G197" s="208"/>
      <c r="H197" s="209"/>
      <c r="I197" s="193" t="s">
        <v>9</v>
      </c>
      <c r="J197" s="282">
        <f>1875*(100%+20%)</f>
        <v>2250</v>
      </c>
    </row>
    <row r="198" spans="1:10" ht="15">
      <c r="A198" s="418" t="s">
        <v>1740</v>
      </c>
      <c r="B198" s="419"/>
      <c r="C198" s="419"/>
      <c r="D198" s="419"/>
      <c r="E198" s="419"/>
      <c r="F198" s="420"/>
      <c r="G198" s="208"/>
      <c r="H198" s="209"/>
      <c r="I198" s="193" t="s">
        <v>9</v>
      </c>
      <c r="J198" s="282">
        <f>2041*(100%+20%)</f>
        <v>2449.2</v>
      </c>
    </row>
    <row r="199" spans="1:10" ht="15">
      <c r="A199" s="418" t="s">
        <v>1741</v>
      </c>
      <c r="B199" s="419"/>
      <c r="C199" s="419"/>
      <c r="D199" s="419"/>
      <c r="E199" s="419"/>
      <c r="F199" s="420"/>
      <c r="G199" s="208"/>
      <c r="H199" s="209"/>
      <c r="I199" s="193" t="s">
        <v>9</v>
      </c>
      <c r="J199" s="282">
        <f>952*(100%+20%)</f>
        <v>1142.3999999999999</v>
      </c>
    </row>
    <row r="200" spans="1:10" ht="15">
      <c r="A200" s="418" t="s">
        <v>1742</v>
      </c>
      <c r="B200" s="419"/>
      <c r="C200" s="419"/>
      <c r="D200" s="419"/>
      <c r="E200" s="419"/>
      <c r="F200" s="420"/>
      <c r="G200" s="208"/>
      <c r="H200" s="209"/>
      <c r="I200" s="193" t="s">
        <v>9</v>
      </c>
      <c r="J200" s="282">
        <f>1007*(100%+20%)</f>
        <v>1208.3999999999999</v>
      </c>
    </row>
    <row r="201" spans="1:10" ht="15">
      <c r="A201" s="418" t="s">
        <v>1743</v>
      </c>
      <c r="B201" s="419"/>
      <c r="C201" s="419"/>
      <c r="D201" s="419"/>
      <c r="E201" s="419"/>
      <c r="F201" s="420"/>
      <c r="G201" s="208"/>
      <c r="H201" s="209"/>
      <c r="I201" s="193" t="s">
        <v>9</v>
      </c>
      <c r="J201" s="282">
        <f>916*(100%+20%)</f>
        <v>1099.2</v>
      </c>
    </row>
    <row r="202" spans="1:10" ht="15">
      <c r="A202" s="418" t="s">
        <v>1744</v>
      </c>
      <c r="B202" s="419"/>
      <c r="C202" s="419"/>
      <c r="D202" s="419"/>
      <c r="E202" s="419"/>
      <c r="F202" s="420"/>
      <c r="G202" s="208"/>
      <c r="H202" s="209"/>
      <c r="I202" s="193" t="s">
        <v>9</v>
      </c>
      <c r="J202" s="282">
        <f>951*(100%+20%)</f>
        <v>1141.2</v>
      </c>
    </row>
    <row r="203" spans="1:10" ht="15">
      <c r="A203" s="418" t="s">
        <v>1745</v>
      </c>
      <c r="B203" s="419"/>
      <c r="C203" s="419"/>
      <c r="D203" s="419"/>
      <c r="E203" s="419"/>
      <c r="F203" s="420"/>
      <c r="G203" s="208"/>
      <c r="H203" s="209"/>
      <c r="I203" s="193" t="s">
        <v>9</v>
      </c>
      <c r="J203" s="282">
        <f>3582*(100%+20%)</f>
        <v>4298.4</v>
      </c>
    </row>
    <row r="204" spans="1:10" ht="15">
      <c r="A204" s="418" t="s">
        <v>1746</v>
      </c>
      <c r="B204" s="419"/>
      <c r="C204" s="419"/>
      <c r="D204" s="419"/>
      <c r="E204" s="419"/>
      <c r="F204" s="420"/>
      <c r="G204" s="208"/>
      <c r="H204" s="209"/>
      <c r="I204" s="193" t="s">
        <v>9</v>
      </c>
      <c r="J204" s="282">
        <f>3851*(100%+20%)</f>
        <v>4621.2</v>
      </c>
    </row>
    <row r="205" spans="1:10" ht="15">
      <c r="A205" s="418" t="s">
        <v>1747</v>
      </c>
      <c r="B205" s="419"/>
      <c r="C205" s="419"/>
      <c r="D205" s="419"/>
      <c r="E205" s="419"/>
      <c r="F205" s="420"/>
      <c r="G205" s="208"/>
      <c r="H205" s="209"/>
      <c r="I205" s="193" t="s">
        <v>9</v>
      </c>
      <c r="J205" s="282">
        <f>3405*(100%+20%)</f>
        <v>4086</v>
      </c>
    </row>
    <row r="206" spans="1:10" ht="15">
      <c r="A206" s="418" t="s">
        <v>1748</v>
      </c>
      <c r="B206" s="419"/>
      <c r="C206" s="419"/>
      <c r="D206" s="419"/>
      <c r="E206" s="419"/>
      <c r="F206" s="420"/>
      <c r="G206" s="208"/>
      <c r="H206" s="209"/>
      <c r="I206" s="193" t="s">
        <v>9</v>
      </c>
      <c r="J206" s="282">
        <f>3571*(100%+20%)</f>
        <v>4285.2</v>
      </c>
    </row>
    <row r="207" spans="1:10" ht="15">
      <c r="A207" s="418" t="s">
        <v>1749</v>
      </c>
      <c r="B207" s="419"/>
      <c r="C207" s="419"/>
      <c r="D207" s="419"/>
      <c r="E207" s="419"/>
      <c r="F207" s="420"/>
      <c r="G207" s="208"/>
      <c r="H207" s="209"/>
      <c r="I207" s="193" t="s">
        <v>9</v>
      </c>
      <c r="J207" s="282">
        <f>3582*(100%+20%)</f>
        <v>4298.4</v>
      </c>
    </row>
    <row r="208" spans="1:10" ht="15">
      <c r="A208" s="418" t="s">
        <v>1750</v>
      </c>
      <c r="B208" s="419"/>
      <c r="C208" s="419"/>
      <c r="D208" s="419"/>
      <c r="E208" s="419"/>
      <c r="F208" s="420"/>
      <c r="G208" s="208"/>
      <c r="H208" s="209"/>
      <c r="I208" s="193" t="s">
        <v>9</v>
      </c>
      <c r="J208" s="282">
        <f>3851*(100%+20%)</f>
        <v>4621.2</v>
      </c>
    </row>
    <row r="209" spans="1:10" ht="15">
      <c r="A209" s="418" t="s">
        <v>1751</v>
      </c>
      <c r="B209" s="419"/>
      <c r="C209" s="419"/>
      <c r="D209" s="419"/>
      <c r="E209" s="419"/>
      <c r="F209" s="420"/>
      <c r="G209" s="208"/>
      <c r="H209" s="209"/>
      <c r="I209" s="193" t="s">
        <v>9</v>
      </c>
      <c r="J209" s="282">
        <f>3405*(100%+20%)</f>
        <v>4086</v>
      </c>
    </row>
    <row r="210" spans="1:10" ht="15">
      <c r="A210" s="418" t="s">
        <v>1752</v>
      </c>
      <c r="B210" s="419"/>
      <c r="C210" s="419"/>
      <c r="D210" s="419"/>
      <c r="E210" s="419"/>
      <c r="F210" s="420"/>
      <c r="G210" s="208"/>
      <c r="H210" s="209"/>
      <c r="I210" s="193" t="s">
        <v>9</v>
      </c>
      <c r="J210" s="282">
        <f>3571*(100%+20%)</f>
        <v>4285.2</v>
      </c>
    </row>
    <row r="211" spans="1:10" ht="15">
      <c r="A211" s="418" t="s">
        <v>1753</v>
      </c>
      <c r="B211" s="419"/>
      <c r="C211" s="419"/>
      <c r="D211" s="419"/>
      <c r="E211" s="419"/>
      <c r="F211" s="420"/>
      <c r="G211" s="208"/>
      <c r="H211" s="209"/>
      <c r="I211" s="193" t="s">
        <v>9</v>
      </c>
      <c r="J211" s="282">
        <f>1748*(100%+20%)</f>
        <v>2097.6</v>
      </c>
    </row>
    <row r="212" spans="1:10" ht="15">
      <c r="A212" s="418" t="s">
        <v>1754</v>
      </c>
      <c r="B212" s="419"/>
      <c r="C212" s="419"/>
      <c r="D212" s="419"/>
      <c r="E212" s="419"/>
      <c r="F212" s="420"/>
      <c r="G212" s="208"/>
      <c r="H212" s="209"/>
      <c r="I212" s="193" t="s">
        <v>9</v>
      </c>
      <c r="J212" s="282">
        <f>2086*(100%+20%)</f>
        <v>2503.2</v>
      </c>
    </row>
    <row r="213" spans="1:10" ht="15">
      <c r="A213" s="418" t="s">
        <v>1755</v>
      </c>
      <c r="B213" s="419"/>
      <c r="C213" s="419"/>
      <c r="D213" s="419"/>
      <c r="E213" s="419"/>
      <c r="F213" s="420"/>
      <c r="G213" s="208"/>
      <c r="H213" s="209"/>
      <c r="I213" s="193" t="s">
        <v>9</v>
      </c>
      <c r="J213" s="282">
        <f>1528*(100%+20%)</f>
        <v>1833.6</v>
      </c>
    </row>
    <row r="214" spans="1:10" ht="15">
      <c r="A214" s="418" t="s">
        <v>1756</v>
      </c>
      <c r="B214" s="419"/>
      <c r="C214" s="419"/>
      <c r="D214" s="419"/>
      <c r="E214" s="419"/>
      <c r="F214" s="420"/>
      <c r="G214" s="208"/>
      <c r="H214" s="209"/>
      <c r="I214" s="193" t="s">
        <v>9</v>
      </c>
      <c r="J214" s="282">
        <f>1736*(100%+20%)</f>
        <v>2083.2</v>
      </c>
    </row>
    <row r="215" spans="1:10" ht="15">
      <c r="A215" s="418" t="s">
        <v>1757</v>
      </c>
      <c r="B215" s="419"/>
      <c r="C215" s="419"/>
      <c r="D215" s="419"/>
      <c r="E215" s="419"/>
      <c r="F215" s="420"/>
      <c r="G215" s="208"/>
      <c r="H215" s="209"/>
      <c r="I215" s="193" t="s">
        <v>9</v>
      </c>
      <c r="J215" s="282">
        <f>1454*(100%+20%)</f>
        <v>1744.8</v>
      </c>
    </row>
    <row r="216" spans="1:10" ht="15">
      <c r="A216" s="418" t="s">
        <v>1758</v>
      </c>
      <c r="B216" s="419"/>
      <c r="C216" s="419"/>
      <c r="D216" s="419"/>
      <c r="E216" s="419"/>
      <c r="F216" s="420"/>
      <c r="G216" s="208"/>
      <c r="H216" s="209"/>
      <c r="I216" s="193" t="s">
        <v>9</v>
      </c>
      <c r="J216" s="282">
        <f>1726*(100%+20%)</f>
        <v>2071.2</v>
      </c>
    </row>
    <row r="217" spans="1:10" ht="15">
      <c r="A217" s="418" t="s">
        <v>1759</v>
      </c>
      <c r="B217" s="419"/>
      <c r="C217" s="419"/>
      <c r="D217" s="419"/>
      <c r="E217" s="419"/>
      <c r="F217" s="420"/>
      <c r="G217" s="208"/>
      <c r="H217" s="209"/>
      <c r="I217" s="193" t="s">
        <v>9</v>
      </c>
      <c r="J217" s="282">
        <f>1278*(100%+20%)</f>
        <v>1533.6</v>
      </c>
    </row>
    <row r="218" spans="1:10" ht="15">
      <c r="A218" s="418" t="s">
        <v>1760</v>
      </c>
      <c r="B218" s="419"/>
      <c r="C218" s="419"/>
      <c r="D218" s="419"/>
      <c r="E218" s="419"/>
      <c r="F218" s="420"/>
      <c r="G218" s="208"/>
      <c r="H218" s="209"/>
      <c r="I218" s="193" t="s">
        <v>9</v>
      </c>
      <c r="J218" s="282">
        <f>1445*(100%+20%)</f>
        <v>1734</v>
      </c>
    </row>
    <row r="219" spans="1:10" ht="15">
      <c r="A219" s="418" t="s">
        <v>1761</v>
      </c>
      <c r="B219" s="419"/>
      <c r="C219" s="419"/>
      <c r="D219" s="419"/>
      <c r="E219" s="419"/>
      <c r="F219" s="420"/>
      <c r="G219" s="208"/>
      <c r="H219" s="209"/>
      <c r="I219" s="193" t="s">
        <v>9</v>
      </c>
      <c r="J219" s="282">
        <f>308*(100%+20%)</f>
        <v>369.59999999999997</v>
      </c>
    </row>
    <row r="220" spans="1:10" ht="15">
      <c r="A220" s="418" t="s">
        <v>1762</v>
      </c>
      <c r="B220" s="419"/>
      <c r="C220" s="419"/>
      <c r="D220" s="419"/>
      <c r="E220" s="419"/>
      <c r="F220" s="420"/>
      <c r="G220" s="208"/>
      <c r="H220" s="209"/>
      <c r="I220" s="193" t="s">
        <v>9</v>
      </c>
      <c r="J220" s="282">
        <f>308*(100%+20%)</f>
        <v>369.59999999999997</v>
      </c>
    </row>
    <row r="221" spans="1:10" ht="15">
      <c r="A221" s="418" t="s">
        <v>1763</v>
      </c>
      <c r="B221" s="419"/>
      <c r="C221" s="419"/>
      <c r="D221" s="419"/>
      <c r="E221" s="419"/>
      <c r="F221" s="420"/>
      <c r="G221" s="208"/>
      <c r="H221" s="209"/>
      <c r="I221" s="193" t="s">
        <v>9</v>
      </c>
      <c r="J221" s="282">
        <f>308*(100%+20%)</f>
        <v>369.59999999999997</v>
      </c>
    </row>
    <row r="222" spans="1:10" ht="15">
      <c r="A222" s="418" t="s">
        <v>1764</v>
      </c>
      <c r="B222" s="419"/>
      <c r="C222" s="419"/>
      <c r="D222" s="419"/>
      <c r="E222" s="419"/>
      <c r="F222" s="420"/>
      <c r="G222" s="208"/>
      <c r="H222" s="209"/>
      <c r="I222" s="193" t="s">
        <v>9</v>
      </c>
      <c r="J222" s="282">
        <f>308*(100%+20%)</f>
        <v>369.59999999999997</v>
      </c>
    </row>
    <row r="223" spans="1:10" ht="15">
      <c r="A223" s="418" t="s">
        <v>1765</v>
      </c>
      <c r="B223" s="419"/>
      <c r="C223" s="419"/>
      <c r="D223" s="419"/>
      <c r="E223" s="419"/>
      <c r="F223" s="420"/>
      <c r="G223" s="208"/>
      <c r="H223" s="209"/>
      <c r="I223" s="193" t="s">
        <v>9</v>
      </c>
      <c r="J223" s="282">
        <f>2829*(100%+20%)</f>
        <v>3394.7999999999997</v>
      </c>
    </row>
    <row r="224" spans="1:10" ht="15">
      <c r="A224" s="418" t="s">
        <v>1766</v>
      </c>
      <c r="B224" s="419"/>
      <c r="C224" s="419"/>
      <c r="D224" s="419"/>
      <c r="E224" s="419"/>
      <c r="F224" s="420"/>
      <c r="G224" s="208"/>
      <c r="H224" s="209"/>
      <c r="I224" s="193" t="s">
        <v>9</v>
      </c>
      <c r="J224" s="282">
        <f>3098*(100%+20%)</f>
        <v>3717.6</v>
      </c>
    </row>
    <row r="225" spans="1:10" ht="15">
      <c r="A225" s="418" t="s">
        <v>1767</v>
      </c>
      <c r="B225" s="419"/>
      <c r="C225" s="419"/>
      <c r="D225" s="419"/>
      <c r="E225" s="419"/>
      <c r="F225" s="420"/>
      <c r="G225" s="208"/>
      <c r="H225" s="209"/>
      <c r="I225" s="193" t="s">
        <v>9</v>
      </c>
      <c r="J225" s="282">
        <f>2652*(100%+20%)</f>
        <v>3182.4</v>
      </c>
    </row>
    <row r="226" spans="1:10" ht="15">
      <c r="A226" s="418" t="s">
        <v>1768</v>
      </c>
      <c r="B226" s="419"/>
      <c r="C226" s="419"/>
      <c r="D226" s="419"/>
      <c r="E226" s="419"/>
      <c r="F226" s="420"/>
      <c r="G226" s="208"/>
      <c r="H226" s="209"/>
      <c r="I226" s="193" t="s">
        <v>9</v>
      </c>
      <c r="J226" s="282">
        <f>2818*(100%+20%)</f>
        <v>3381.6</v>
      </c>
    </row>
    <row r="227" spans="1:10" ht="15">
      <c r="A227" s="418" t="s">
        <v>1769</v>
      </c>
      <c r="B227" s="419"/>
      <c r="C227" s="419"/>
      <c r="D227" s="419"/>
      <c r="E227" s="419"/>
      <c r="F227" s="420"/>
      <c r="G227" s="208"/>
      <c r="H227" s="209"/>
      <c r="I227" s="193" t="s">
        <v>9</v>
      </c>
      <c r="J227" s="282">
        <f>2829*(100%+20%)</f>
        <v>3394.7999999999997</v>
      </c>
    </row>
    <row r="228" spans="1:10" ht="15">
      <c r="A228" s="418" t="s">
        <v>1770</v>
      </c>
      <c r="B228" s="419"/>
      <c r="C228" s="419"/>
      <c r="D228" s="419"/>
      <c r="E228" s="419"/>
      <c r="F228" s="420"/>
      <c r="G228" s="208"/>
      <c r="H228" s="209"/>
      <c r="I228" s="193" t="s">
        <v>9</v>
      </c>
      <c r="J228" s="282">
        <f>3098*(100%+20%)</f>
        <v>3717.6</v>
      </c>
    </row>
    <row r="229" spans="1:10" ht="15">
      <c r="A229" s="418" t="s">
        <v>1771</v>
      </c>
      <c r="B229" s="419"/>
      <c r="C229" s="419"/>
      <c r="D229" s="419"/>
      <c r="E229" s="419"/>
      <c r="F229" s="420"/>
      <c r="G229" s="208"/>
      <c r="H229" s="209"/>
      <c r="I229" s="193" t="s">
        <v>9</v>
      </c>
      <c r="J229" s="282">
        <f>2652*(100%+20%)</f>
        <v>3182.4</v>
      </c>
    </row>
    <row r="230" spans="1:10" ht="15">
      <c r="A230" s="418" t="s">
        <v>1772</v>
      </c>
      <c r="B230" s="419"/>
      <c r="C230" s="419"/>
      <c r="D230" s="419"/>
      <c r="E230" s="419"/>
      <c r="F230" s="420"/>
      <c r="G230" s="208"/>
      <c r="H230" s="209"/>
      <c r="I230" s="193" t="s">
        <v>9</v>
      </c>
      <c r="J230" s="282">
        <f>2818*(100%+20%)</f>
        <v>3381.6</v>
      </c>
    </row>
    <row r="231" spans="1:10" ht="15">
      <c r="A231" s="418" t="s">
        <v>1773</v>
      </c>
      <c r="B231" s="419"/>
      <c r="C231" s="419"/>
      <c r="D231" s="419"/>
      <c r="E231" s="419"/>
      <c r="F231" s="420"/>
      <c r="G231" s="208"/>
      <c r="H231" s="209"/>
      <c r="I231" s="193" t="s">
        <v>9</v>
      </c>
      <c r="J231" s="282">
        <f>1584*(100%+20%)</f>
        <v>1900.8</v>
      </c>
    </row>
    <row r="232" spans="1:10" ht="15">
      <c r="A232" s="418" t="s">
        <v>1774</v>
      </c>
      <c r="B232" s="419"/>
      <c r="C232" s="419"/>
      <c r="D232" s="419"/>
      <c r="E232" s="419"/>
      <c r="F232" s="420"/>
      <c r="G232" s="208"/>
      <c r="H232" s="209"/>
      <c r="I232" s="193" t="s">
        <v>9</v>
      </c>
      <c r="J232" s="282">
        <f>1924*(100%+20%)</f>
        <v>2308.7999999999997</v>
      </c>
    </row>
    <row r="233" spans="1:10" ht="15">
      <c r="A233" s="418" t="s">
        <v>1775</v>
      </c>
      <c r="B233" s="419"/>
      <c r="C233" s="419"/>
      <c r="D233" s="419"/>
      <c r="E233" s="419"/>
      <c r="F233" s="420"/>
      <c r="G233" s="208"/>
      <c r="H233" s="209"/>
      <c r="I233" s="193" t="s">
        <v>9</v>
      </c>
      <c r="J233" s="282">
        <f>1367*(100%+20%)</f>
        <v>1640.3999999999999</v>
      </c>
    </row>
    <row r="234" spans="1:10" ht="15">
      <c r="A234" s="418" t="s">
        <v>1776</v>
      </c>
      <c r="B234" s="419"/>
      <c r="C234" s="419"/>
      <c r="D234" s="419"/>
      <c r="E234" s="419"/>
      <c r="F234" s="420"/>
      <c r="G234" s="208"/>
      <c r="H234" s="209"/>
      <c r="I234" s="193" t="s">
        <v>9</v>
      </c>
      <c r="J234" s="282">
        <f>1573*(100%+20%)</f>
        <v>1887.6</v>
      </c>
    </row>
    <row r="235" spans="1:10" ht="15">
      <c r="A235" s="418" t="s">
        <v>1777</v>
      </c>
      <c r="B235" s="419"/>
      <c r="C235" s="419"/>
      <c r="D235" s="419"/>
      <c r="E235" s="419"/>
      <c r="F235" s="420"/>
      <c r="G235" s="208"/>
      <c r="H235" s="209"/>
      <c r="I235" s="193" t="s">
        <v>9</v>
      </c>
      <c r="J235" s="282">
        <f>1293*(100%+20%)</f>
        <v>1551.6</v>
      </c>
    </row>
    <row r="236" spans="1:10" ht="15">
      <c r="A236" s="418" t="s">
        <v>1778</v>
      </c>
      <c r="B236" s="419"/>
      <c r="C236" s="419"/>
      <c r="D236" s="419"/>
      <c r="E236" s="419"/>
      <c r="F236" s="420"/>
      <c r="G236" s="208"/>
      <c r="H236" s="209"/>
      <c r="I236" s="193" t="s">
        <v>9</v>
      </c>
      <c r="J236" s="282">
        <f>1562*(100%+20%)</f>
        <v>1874.3999999999999</v>
      </c>
    </row>
    <row r="237" spans="1:10" ht="15">
      <c r="A237" s="418" t="s">
        <v>1779</v>
      </c>
      <c r="B237" s="419"/>
      <c r="C237" s="419"/>
      <c r="D237" s="419"/>
      <c r="E237" s="419"/>
      <c r="F237" s="420"/>
      <c r="G237" s="208"/>
      <c r="H237" s="209"/>
      <c r="I237" s="193" t="s">
        <v>9</v>
      </c>
      <c r="J237" s="282">
        <f>1117*(100%+20%)</f>
        <v>1340.3999999999999</v>
      </c>
    </row>
    <row r="238" spans="1:10" ht="15">
      <c r="A238" s="418" t="s">
        <v>1780</v>
      </c>
      <c r="B238" s="419"/>
      <c r="C238" s="419"/>
      <c r="D238" s="419"/>
      <c r="E238" s="419"/>
      <c r="F238" s="420"/>
      <c r="G238" s="208"/>
      <c r="H238" s="209"/>
      <c r="I238" s="193" t="s">
        <v>9</v>
      </c>
      <c r="J238" s="282">
        <f>1283*(100%+20%)</f>
        <v>1539.6</v>
      </c>
    </row>
    <row r="239" spans="1:10" ht="15">
      <c r="A239" s="418" t="s">
        <v>1781</v>
      </c>
      <c r="B239" s="419"/>
      <c r="C239" s="419"/>
      <c r="D239" s="419"/>
      <c r="E239" s="419"/>
      <c r="F239" s="420"/>
      <c r="G239" s="208"/>
      <c r="H239" s="209"/>
      <c r="I239" s="193" t="s">
        <v>9</v>
      </c>
      <c r="J239" s="282">
        <f>947*(100%+20%)</f>
        <v>1136.3999999999999</v>
      </c>
    </row>
    <row r="240" spans="1:10" ht="15">
      <c r="A240" s="418" t="s">
        <v>1782</v>
      </c>
      <c r="B240" s="419"/>
      <c r="C240" s="419"/>
      <c r="D240" s="419"/>
      <c r="E240" s="419"/>
      <c r="F240" s="420"/>
      <c r="G240" s="208"/>
      <c r="H240" s="209"/>
      <c r="I240" s="193" t="s">
        <v>9</v>
      </c>
      <c r="J240" s="282">
        <f>1002*(100%+20%)</f>
        <v>1202.3999999999999</v>
      </c>
    </row>
    <row r="241" spans="1:10" ht="15">
      <c r="A241" s="418" t="s">
        <v>1783</v>
      </c>
      <c r="B241" s="419"/>
      <c r="C241" s="419"/>
      <c r="D241" s="419"/>
      <c r="E241" s="419"/>
      <c r="F241" s="420"/>
      <c r="G241" s="208"/>
      <c r="H241" s="209"/>
      <c r="I241" s="193" t="s">
        <v>9</v>
      </c>
      <c r="J241" s="282">
        <f>914*(100%+20%)</f>
        <v>1096.8</v>
      </c>
    </row>
    <row r="242" spans="1:10" ht="15">
      <c r="A242" s="418" t="s">
        <v>1784</v>
      </c>
      <c r="B242" s="419"/>
      <c r="C242" s="419"/>
      <c r="D242" s="419"/>
      <c r="E242" s="419"/>
      <c r="F242" s="420"/>
      <c r="G242" s="208"/>
      <c r="H242" s="209"/>
      <c r="I242" s="193" t="s">
        <v>9</v>
      </c>
      <c r="J242" s="282">
        <f>947*(100%+20%)</f>
        <v>1136.3999999999999</v>
      </c>
    </row>
    <row r="243" spans="1:10" ht="15">
      <c r="A243" s="418" t="s">
        <v>1785</v>
      </c>
      <c r="B243" s="419"/>
      <c r="C243" s="419"/>
      <c r="D243" s="419"/>
      <c r="E243" s="419"/>
      <c r="F243" s="420"/>
      <c r="G243" s="208"/>
      <c r="H243" s="209"/>
      <c r="I243" s="193" t="s">
        <v>9</v>
      </c>
      <c r="J243" s="282">
        <f>1481*(100%+20%)</f>
        <v>1777.2</v>
      </c>
    </row>
    <row r="244" spans="1:10" ht="15">
      <c r="A244" s="418" t="s">
        <v>1786</v>
      </c>
      <c r="B244" s="419"/>
      <c r="C244" s="419"/>
      <c r="D244" s="419"/>
      <c r="E244" s="419"/>
      <c r="F244" s="420"/>
      <c r="G244" s="208"/>
      <c r="H244" s="209"/>
      <c r="I244" s="193" t="s">
        <v>9</v>
      </c>
      <c r="J244" s="282">
        <f>1819*(100%+20%)</f>
        <v>2182.7999999999997</v>
      </c>
    </row>
    <row r="245" spans="1:10" ht="15">
      <c r="A245" s="418" t="s">
        <v>1787</v>
      </c>
      <c r="B245" s="419"/>
      <c r="C245" s="419"/>
      <c r="D245" s="419"/>
      <c r="E245" s="419"/>
      <c r="F245" s="420"/>
      <c r="G245" s="208"/>
      <c r="H245" s="209"/>
      <c r="I245" s="193" t="s">
        <v>9</v>
      </c>
      <c r="J245" s="282">
        <f>1261*(100%+20%)</f>
        <v>1513.2</v>
      </c>
    </row>
    <row r="246" spans="1:10" ht="15">
      <c r="A246" s="418" t="s">
        <v>1788</v>
      </c>
      <c r="B246" s="419"/>
      <c r="C246" s="419"/>
      <c r="D246" s="419"/>
      <c r="E246" s="419"/>
      <c r="F246" s="420"/>
      <c r="G246" s="208"/>
      <c r="H246" s="209"/>
      <c r="I246" s="193" t="s">
        <v>9</v>
      </c>
      <c r="J246" s="282">
        <f>1467*(100%+20%)</f>
        <v>1760.3999999999999</v>
      </c>
    </row>
    <row r="247" spans="1:10" ht="15">
      <c r="A247" s="418" t="s">
        <v>1789</v>
      </c>
      <c r="B247" s="419"/>
      <c r="C247" s="419"/>
      <c r="D247" s="419"/>
      <c r="E247" s="419"/>
      <c r="F247" s="420"/>
      <c r="G247" s="208"/>
      <c r="H247" s="209"/>
      <c r="I247" s="193" t="s">
        <v>9</v>
      </c>
      <c r="J247" s="282">
        <f>1844*(100%+20%)</f>
        <v>2212.7999999999997</v>
      </c>
    </row>
    <row r="248" spans="1:10" ht="15">
      <c r="A248" s="418" t="s">
        <v>1790</v>
      </c>
      <c r="B248" s="419"/>
      <c r="C248" s="419"/>
      <c r="D248" s="419"/>
      <c r="E248" s="419"/>
      <c r="F248" s="420"/>
      <c r="G248" s="208"/>
      <c r="H248" s="209"/>
      <c r="I248" s="193" t="s">
        <v>9</v>
      </c>
      <c r="J248" s="282">
        <f>2114*(100%+20%)</f>
        <v>2536.7999999999997</v>
      </c>
    </row>
    <row r="249" spans="1:10" ht="15">
      <c r="A249" s="418" t="s">
        <v>1791</v>
      </c>
      <c r="B249" s="419"/>
      <c r="C249" s="419"/>
      <c r="D249" s="419"/>
      <c r="E249" s="419"/>
      <c r="F249" s="420"/>
      <c r="G249" s="208"/>
      <c r="H249" s="209"/>
      <c r="I249" s="193" t="s">
        <v>9</v>
      </c>
      <c r="J249" s="282">
        <f>1667*(100%+20%)</f>
        <v>2000.3999999999999</v>
      </c>
    </row>
    <row r="250" spans="1:10" ht="15">
      <c r="A250" s="418" t="s">
        <v>1792</v>
      </c>
      <c r="B250" s="419"/>
      <c r="C250" s="419"/>
      <c r="D250" s="419"/>
      <c r="E250" s="419"/>
      <c r="F250" s="420"/>
      <c r="G250" s="208"/>
      <c r="H250" s="209"/>
      <c r="I250" s="193" t="s">
        <v>9</v>
      </c>
      <c r="J250" s="282">
        <f>1835*(100%+20%)</f>
        <v>2202</v>
      </c>
    </row>
    <row r="251" spans="1:10" ht="15">
      <c r="A251" s="418" t="s">
        <v>1793</v>
      </c>
      <c r="B251" s="419"/>
      <c r="C251" s="419"/>
      <c r="D251" s="419"/>
      <c r="E251" s="419"/>
      <c r="F251" s="420"/>
      <c r="G251" s="208"/>
      <c r="H251" s="209"/>
      <c r="I251" s="193" t="s">
        <v>9</v>
      </c>
      <c r="J251" s="282">
        <f>2937*(100%+20%)</f>
        <v>3524.4</v>
      </c>
    </row>
    <row r="252" spans="1:10" ht="15">
      <c r="A252" s="418" t="s">
        <v>1794</v>
      </c>
      <c r="B252" s="419"/>
      <c r="C252" s="419"/>
      <c r="D252" s="419"/>
      <c r="E252" s="419"/>
      <c r="F252" s="420"/>
      <c r="G252" s="208"/>
      <c r="H252" s="209"/>
      <c r="I252" s="193" t="s">
        <v>9</v>
      </c>
      <c r="J252" s="282">
        <f>3275*(100%+20%)</f>
        <v>3930</v>
      </c>
    </row>
    <row r="253" spans="1:10" ht="15">
      <c r="A253" s="418" t="s">
        <v>1795</v>
      </c>
      <c r="B253" s="419"/>
      <c r="C253" s="419"/>
      <c r="D253" s="419"/>
      <c r="E253" s="419"/>
      <c r="F253" s="420"/>
      <c r="G253" s="208"/>
      <c r="H253" s="209"/>
      <c r="I253" s="193" t="s">
        <v>9</v>
      </c>
      <c r="J253" s="282">
        <f>2717*(100%+20%)</f>
        <v>3260.4</v>
      </c>
    </row>
    <row r="254" spans="1:10" ht="15">
      <c r="A254" s="418" t="s">
        <v>1796</v>
      </c>
      <c r="B254" s="419"/>
      <c r="C254" s="419"/>
      <c r="D254" s="419"/>
      <c r="E254" s="419"/>
      <c r="F254" s="420"/>
      <c r="G254" s="208"/>
      <c r="H254" s="209"/>
      <c r="I254" s="193" t="s">
        <v>9</v>
      </c>
      <c r="J254" s="282">
        <f>2926*(100%+20%)</f>
        <v>3511.2</v>
      </c>
    </row>
    <row r="255" spans="1:10" ht="15">
      <c r="A255" s="418" t="s">
        <v>1797</v>
      </c>
      <c r="B255" s="419"/>
      <c r="C255" s="419"/>
      <c r="D255" s="419"/>
      <c r="E255" s="419"/>
      <c r="F255" s="420"/>
      <c r="G255" s="208"/>
      <c r="H255" s="209"/>
      <c r="I255" s="193" t="s">
        <v>9</v>
      </c>
      <c r="J255" s="282">
        <f>2279*(100%+20%)</f>
        <v>2734.7999999999997</v>
      </c>
    </row>
    <row r="256" spans="1:10" ht="15">
      <c r="A256" s="418" t="s">
        <v>1798</v>
      </c>
      <c r="B256" s="419"/>
      <c r="C256" s="419"/>
      <c r="D256" s="419"/>
      <c r="E256" s="419"/>
      <c r="F256" s="420"/>
      <c r="G256" s="208"/>
      <c r="H256" s="209"/>
      <c r="I256" s="193" t="s">
        <v>9</v>
      </c>
      <c r="J256" s="282">
        <f>2551*(100%+20%)</f>
        <v>3061.2</v>
      </c>
    </row>
    <row r="257" spans="1:10" ht="15">
      <c r="A257" s="418" t="s">
        <v>1799</v>
      </c>
      <c r="B257" s="419"/>
      <c r="C257" s="419"/>
      <c r="D257" s="419"/>
      <c r="E257" s="419"/>
      <c r="F257" s="420"/>
      <c r="G257" s="208"/>
      <c r="H257" s="209"/>
      <c r="I257" s="193" t="s">
        <v>9</v>
      </c>
      <c r="J257" s="282">
        <f>2103*(100%+20%)</f>
        <v>2523.6</v>
      </c>
    </row>
    <row r="258" spans="1:10" ht="15">
      <c r="A258" s="418" t="s">
        <v>1800</v>
      </c>
      <c r="B258" s="419"/>
      <c r="C258" s="419"/>
      <c r="D258" s="419"/>
      <c r="E258" s="419"/>
      <c r="F258" s="420"/>
      <c r="G258" s="208"/>
      <c r="H258" s="209"/>
      <c r="I258" s="193" t="s">
        <v>9</v>
      </c>
      <c r="J258" s="282">
        <f>2271*(100%+20%)</f>
        <v>2725.2</v>
      </c>
    </row>
    <row r="259" spans="1:10" ht="15">
      <c r="A259" s="418" t="s">
        <v>1801</v>
      </c>
      <c r="B259" s="419"/>
      <c r="C259" s="419"/>
      <c r="D259" s="419"/>
      <c r="E259" s="419"/>
      <c r="F259" s="420"/>
      <c r="G259" s="208"/>
      <c r="H259" s="209"/>
      <c r="I259" s="193" t="s">
        <v>9</v>
      </c>
      <c r="J259" s="282">
        <f>1577*(100%+20%)</f>
        <v>1892.3999999999999</v>
      </c>
    </row>
    <row r="260" spans="1:10" ht="15">
      <c r="A260" s="418" t="s">
        <v>1802</v>
      </c>
      <c r="B260" s="419"/>
      <c r="C260" s="419"/>
      <c r="D260" s="419"/>
      <c r="E260" s="419"/>
      <c r="F260" s="420"/>
      <c r="G260" s="208"/>
      <c r="H260" s="209"/>
      <c r="I260" s="193" t="s">
        <v>9</v>
      </c>
      <c r="J260" s="282">
        <f>1914*(100%+20%)</f>
        <v>2296.7999999999997</v>
      </c>
    </row>
    <row r="261" spans="1:10" ht="15">
      <c r="A261" s="418" t="s">
        <v>1803</v>
      </c>
      <c r="B261" s="419"/>
      <c r="C261" s="419"/>
      <c r="D261" s="419"/>
      <c r="E261" s="419"/>
      <c r="F261" s="420"/>
      <c r="G261" s="208"/>
      <c r="H261" s="209"/>
      <c r="I261" s="193" t="s">
        <v>9</v>
      </c>
      <c r="J261" s="282">
        <f>1357*(100%+20%)</f>
        <v>1628.3999999999999</v>
      </c>
    </row>
    <row r="262" spans="1:10" ht="15">
      <c r="A262" s="418" t="s">
        <v>1804</v>
      </c>
      <c r="B262" s="419"/>
      <c r="C262" s="419"/>
      <c r="D262" s="419"/>
      <c r="E262" s="419"/>
      <c r="F262" s="420"/>
      <c r="G262" s="208"/>
      <c r="H262" s="209"/>
      <c r="I262" s="193" t="s">
        <v>9</v>
      </c>
      <c r="J262" s="282">
        <f>1565*(100%+20%)</f>
        <v>1878</v>
      </c>
    </row>
    <row r="263" spans="1:10" ht="15">
      <c r="A263" s="418" t="s">
        <v>1805</v>
      </c>
      <c r="B263" s="419"/>
      <c r="C263" s="419"/>
      <c r="D263" s="419"/>
      <c r="E263" s="419"/>
      <c r="F263" s="420"/>
      <c r="G263" s="208"/>
      <c r="H263" s="209"/>
      <c r="I263" s="193" t="s">
        <v>9</v>
      </c>
      <c r="J263" s="282">
        <f>1283*(100%+20%)</f>
        <v>1539.6</v>
      </c>
    </row>
    <row r="264" spans="1:10" ht="15">
      <c r="A264" s="418" t="s">
        <v>1806</v>
      </c>
      <c r="B264" s="419"/>
      <c r="C264" s="419"/>
      <c r="D264" s="419"/>
      <c r="E264" s="419"/>
      <c r="F264" s="420"/>
      <c r="G264" s="208"/>
      <c r="H264" s="209"/>
      <c r="I264" s="193" t="s">
        <v>9</v>
      </c>
      <c r="J264" s="282">
        <f>1556*(100%+20%)</f>
        <v>1867.1999999999998</v>
      </c>
    </row>
    <row r="265" spans="1:10" ht="15">
      <c r="A265" s="418" t="s">
        <v>1807</v>
      </c>
      <c r="B265" s="419"/>
      <c r="C265" s="419"/>
      <c r="D265" s="419"/>
      <c r="E265" s="419"/>
      <c r="F265" s="420"/>
      <c r="G265" s="208"/>
      <c r="H265" s="209"/>
      <c r="I265" s="193" t="s">
        <v>9</v>
      </c>
      <c r="J265" s="282">
        <f>1107*(100%+20%)</f>
        <v>1328.3999999999999</v>
      </c>
    </row>
    <row r="266" spans="1:10" ht="15">
      <c r="A266" s="418" t="s">
        <v>1808</v>
      </c>
      <c r="B266" s="419"/>
      <c r="C266" s="419"/>
      <c r="D266" s="419"/>
      <c r="E266" s="419"/>
      <c r="F266" s="420"/>
      <c r="G266" s="208"/>
      <c r="H266" s="209"/>
      <c r="I266" s="193" t="s">
        <v>9</v>
      </c>
      <c r="J266" s="282">
        <f>1274*(100%+20%)</f>
        <v>1528.8</v>
      </c>
    </row>
    <row r="267" spans="1:10" ht="15">
      <c r="A267" s="418" t="s">
        <v>1809</v>
      </c>
      <c r="B267" s="419"/>
      <c r="C267" s="419"/>
      <c r="D267" s="419"/>
      <c r="E267" s="419"/>
      <c r="F267" s="420"/>
      <c r="G267" s="208"/>
      <c r="H267" s="209"/>
      <c r="I267" s="193" t="s">
        <v>9</v>
      </c>
      <c r="J267" s="282">
        <f>2569*(100%+20%)</f>
        <v>3082.7999999999997</v>
      </c>
    </row>
    <row r="268" spans="1:10" ht="15">
      <c r="A268" s="418" t="s">
        <v>1810</v>
      </c>
      <c r="B268" s="419"/>
      <c r="C268" s="419"/>
      <c r="D268" s="419"/>
      <c r="E268" s="419"/>
      <c r="F268" s="420"/>
      <c r="G268" s="208"/>
      <c r="H268" s="209"/>
      <c r="I268" s="193" t="s">
        <v>9</v>
      </c>
      <c r="J268" s="282">
        <f>2909*(100%+20%)</f>
        <v>3490.7999999999997</v>
      </c>
    </row>
    <row r="269" spans="1:10" ht="15">
      <c r="A269" s="418" t="s">
        <v>1811</v>
      </c>
      <c r="B269" s="419"/>
      <c r="C269" s="419"/>
      <c r="D269" s="419"/>
      <c r="E269" s="419"/>
      <c r="F269" s="420"/>
      <c r="G269" s="208"/>
      <c r="H269" s="209"/>
      <c r="I269" s="193" t="s">
        <v>9</v>
      </c>
      <c r="J269" s="282">
        <f>2352*(100%+20%)</f>
        <v>2822.4</v>
      </c>
    </row>
    <row r="270" spans="1:10" ht="15">
      <c r="A270" s="418" t="s">
        <v>1812</v>
      </c>
      <c r="B270" s="419"/>
      <c r="C270" s="419"/>
      <c r="D270" s="419"/>
      <c r="E270" s="419"/>
      <c r="F270" s="420"/>
      <c r="G270" s="208"/>
      <c r="H270" s="209"/>
      <c r="I270" s="193" t="s">
        <v>9</v>
      </c>
      <c r="J270" s="282">
        <f>2558*(100%+20%)</f>
        <v>3069.6</v>
      </c>
    </row>
    <row r="271" spans="1:10" ht="15">
      <c r="A271" s="418" t="s">
        <v>1813</v>
      </c>
      <c r="B271" s="419"/>
      <c r="C271" s="419"/>
      <c r="D271" s="419"/>
      <c r="E271" s="419"/>
      <c r="F271" s="420"/>
      <c r="G271" s="208"/>
      <c r="H271" s="209"/>
      <c r="I271" s="193" t="s">
        <v>9</v>
      </c>
      <c r="J271" s="282">
        <f>1913*(100%+20%)</f>
        <v>2295.6</v>
      </c>
    </row>
    <row r="272" spans="1:10" ht="15">
      <c r="A272" s="418" t="s">
        <v>1814</v>
      </c>
      <c r="B272" s="419"/>
      <c r="C272" s="419"/>
      <c r="D272" s="419"/>
      <c r="E272" s="419"/>
      <c r="F272" s="420"/>
      <c r="G272" s="208"/>
      <c r="H272" s="209"/>
      <c r="I272" s="193" t="s">
        <v>9</v>
      </c>
      <c r="J272" s="282">
        <f>2186*(100%+20%)</f>
        <v>2623.2</v>
      </c>
    </row>
    <row r="273" spans="1:10" ht="15">
      <c r="A273" s="418" t="s">
        <v>1815</v>
      </c>
      <c r="B273" s="419"/>
      <c r="C273" s="419"/>
      <c r="D273" s="419"/>
      <c r="E273" s="419"/>
      <c r="F273" s="420"/>
      <c r="G273" s="208"/>
      <c r="H273" s="209"/>
      <c r="I273" s="193" t="s">
        <v>9</v>
      </c>
      <c r="J273" s="282">
        <f>1738*(100%+20%)</f>
        <v>2085.6</v>
      </c>
    </row>
    <row r="274" spans="1:10" ht="15">
      <c r="A274" s="418" t="s">
        <v>1816</v>
      </c>
      <c r="B274" s="419"/>
      <c r="C274" s="419"/>
      <c r="D274" s="419"/>
      <c r="E274" s="419"/>
      <c r="F274" s="420"/>
      <c r="G274" s="208"/>
      <c r="H274" s="209"/>
      <c r="I274" s="193" t="s">
        <v>9</v>
      </c>
      <c r="J274" s="282">
        <f>1905*(100%+20%)</f>
        <v>2286</v>
      </c>
    </row>
    <row r="275" spans="1:10" ht="15">
      <c r="A275" s="418" t="s">
        <v>1817</v>
      </c>
      <c r="B275" s="419"/>
      <c r="C275" s="419"/>
      <c r="D275" s="419"/>
      <c r="E275" s="419"/>
      <c r="F275" s="420"/>
      <c r="G275" s="208"/>
      <c r="H275" s="209"/>
      <c r="I275" s="193" t="s">
        <v>9</v>
      </c>
      <c r="J275" s="282">
        <f>562*(100%+20%)</f>
        <v>674.4</v>
      </c>
    </row>
    <row r="276" spans="1:10" ht="15">
      <c r="A276" s="418" t="s">
        <v>1818</v>
      </c>
      <c r="B276" s="419"/>
      <c r="C276" s="419"/>
      <c r="D276" s="419"/>
      <c r="E276" s="419"/>
      <c r="F276" s="420"/>
      <c r="G276" s="208"/>
      <c r="H276" s="209"/>
      <c r="I276" s="193" t="s">
        <v>9</v>
      </c>
      <c r="J276" s="282">
        <f>603*(100%+20%)</f>
        <v>723.6</v>
      </c>
    </row>
    <row r="277" spans="1:10" ht="15">
      <c r="A277" s="418" t="s">
        <v>1819</v>
      </c>
      <c r="B277" s="419"/>
      <c r="C277" s="419"/>
      <c r="D277" s="419"/>
      <c r="E277" s="419"/>
      <c r="F277" s="420"/>
      <c r="G277" s="208"/>
      <c r="H277" s="209"/>
      <c r="I277" s="193" t="s">
        <v>9</v>
      </c>
      <c r="J277" s="282">
        <f>538*(100%+20%)</f>
        <v>645.6</v>
      </c>
    </row>
    <row r="278" spans="1:10" ht="15">
      <c r="A278" s="418" t="s">
        <v>1820</v>
      </c>
      <c r="B278" s="419"/>
      <c r="C278" s="419"/>
      <c r="D278" s="419"/>
      <c r="E278" s="419"/>
      <c r="F278" s="420"/>
      <c r="G278" s="208"/>
      <c r="H278" s="209"/>
      <c r="I278" s="193" t="s">
        <v>9</v>
      </c>
      <c r="J278" s="282">
        <f>560*(100%+20%)</f>
        <v>672</v>
      </c>
    </row>
    <row r="279" spans="1:10" ht="15">
      <c r="A279" s="418" t="s">
        <v>1821</v>
      </c>
      <c r="B279" s="419"/>
      <c r="C279" s="419"/>
      <c r="D279" s="419"/>
      <c r="E279" s="419"/>
      <c r="F279" s="420"/>
      <c r="G279" s="208"/>
      <c r="H279" s="209"/>
      <c r="I279" s="193" t="s">
        <v>9</v>
      </c>
      <c r="J279" s="282">
        <f>2701*(100%+20%)</f>
        <v>3241.2</v>
      </c>
    </row>
    <row r="280" spans="1:10" ht="15">
      <c r="A280" s="418" t="s">
        <v>1822</v>
      </c>
      <c r="B280" s="419"/>
      <c r="C280" s="419"/>
      <c r="D280" s="419"/>
      <c r="E280" s="419"/>
      <c r="F280" s="420"/>
      <c r="G280" s="208"/>
      <c r="H280" s="209"/>
      <c r="I280" s="193" t="s">
        <v>9</v>
      </c>
      <c r="J280" s="282">
        <f>3039*(100%+20%)</f>
        <v>3646.7999999999997</v>
      </c>
    </row>
    <row r="281" spans="1:10" ht="15">
      <c r="A281" s="418" t="s">
        <v>1823</v>
      </c>
      <c r="B281" s="419"/>
      <c r="C281" s="419"/>
      <c r="D281" s="419"/>
      <c r="E281" s="419"/>
      <c r="F281" s="420"/>
      <c r="G281" s="208"/>
      <c r="H281" s="209"/>
      <c r="I281" s="193" t="s">
        <v>9</v>
      </c>
      <c r="J281" s="282">
        <f>2483*(100%+20%)</f>
        <v>2979.6</v>
      </c>
    </row>
    <row r="282" spans="1:10" ht="15">
      <c r="A282" s="418" t="s">
        <v>1824</v>
      </c>
      <c r="B282" s="419"/>
      <c r="C282" s="419"/>
      <c r="D282" s="419"/>
      <c r="E282" s="419"/>
      <c r="F282" s="420"/>
      <c r="G282" s="208"/>
      <c r="H282" s="209"/>
      <c r="I282" s="193" t="s">
        <v>9</v>
      </c>
      <c r="J282" s="282">
        <f>2690*(100%+20%)</f>
        <v>3228</v>
      </c>
    </row>
    <row r="283" spans="1:10" ht="15">
      <c r="A283" s="418" t="s">
        <v>1825</v>
      </c>
      <c r="B283" s="419"/>
      <c r="C283" s="419"/>
      <c r="D283" s="419"/>
      <c r="E283" s="419"/>
      <c r="F283" s="420"/>
      <c r="G283" s="208"/>
      <c r="H283" s="209"/>
      <c r="I283" s="193" t="s">
        <v>9</v>
      </c>
      <c r="J283" s="282">
        <f>2408*(100%+20%)</f>
        <v>2889.6</v>
      </c>
    </row>
    <row r="284" spans="1:10" ht="15">
      <c r="A284" s="418" t="s">
        <v>1826</v>
      </c>
      <c r="B284" s="419"/>
      <c r="C284" s="419"/>
      <c r="D284" s="419"/>
      <c r="E284" s="419"/>
      <c r="F284" s="420"/>
      <c r="G284" s="208"/>
      <c r="H284" s="209"/>
      <c r="I284" s="193" t="s">
        <v>9</v>
      </c>
      <c r="J284" s="282">
        <f>2678*(100%+20%)</f>
        <v>3213.6</v>
      </c>
    </row>
    <row r="285" spans="1:10" ht="15">
      <c r="A285" s="418" t="s">
        <v>1827</v>
      </c>
      <c r="B285" s="419"/>
      <c r="C285" s="419"/>
      <c r="D285" s="419"/>
      <c r="E285" s="419"/>
      <c r="F285" s="420"/>
      <c r="G285" s="208"/>
      <c r="H285" s="209"/>
      <c r="I285" s="193" t="s">
        <v>9</v>
      </c>
      <c r="J285" s="282">
        <f>2231*(100%+20%)</f>
        <v>2677.2</v>
      </c>
    </row>
    <row r="286" spans="1:10" ht="15">
      <c r="A286" s="418" t="s">
        <v>1828</v>
      </c>
      <c r="B286" s="419"/>
      <c r="C286" s="419"/>
      <c r="D286" s="419"/>
      <c r="E286" s="419"/>
      <c r="F286" s="420"/>
      <c r="G286" s="208"/>
      <c r="H286" s="209"/>
      <c r="I286" s="193" t="s">
        <v>9</v>
      </c>
      <c r="J286" s="282">
        <f>2397*(100%+20%)</f>
        <v>2876.4</v>
      </c>
    </row>
    <row r="287" spans="1:10" ht="15">
      <c r="A287" s="418" t="s">
        <v>1829</v>
      </c>
      <c r="B287" s="419"/>
      <c r="C287" s="419"/>
      <c r="D287" s="419"/>
      <c r="E287" s="419"/>
      <c r="F287" s="420"/>
      <c r="G287" s="208"/>
      <c r="H287" s="209"/>
      <c r="I287" s="193" t="s">
        <v>9</v>
      </c>
      <c r="J287" s="282">
        <f>1673*(100%+20%)</f>
        <v>2007.6</v>
      </c>
    </row>
    <row r="288" spans="1:10" ht="15">
      <c r="A288" s="418" t="s">
        <v>1830</v>
      </c>
      <c r="B288" s="419"/>
      <c r="C288" s="419"/>
      <c r="D288" s="419"/>
      <c r="E288" s="419"/>
      <c r="F288" s="420"/>
      <c r="G288" s="208"/>
      <c r="H288" s="209"/>
      <c r="I288" s="193" t="s">
        <v>9</v>
      </c>
      <c r="J288" s="282">
        <f>2012*(100%+20%)</f>
        <v>2414.4</v>
      </c>
    </row>
    <row r="289" spans="1:10" ht="15">
      <c r="A289" s="418" t="s">
        <v>1831</v>
      </c>
      <c r="B289" s="419"/>
      <c r="C289" s="419"/>
      <c r="D289" s="419"/>
      <c r="E289" s="419"/>
      <c r="F289" s="420"/>
      <c r="G289" s="208"/>
      <c r="H289" s="209"/>
      <c r="I289" s="193" t="s">
        <v>9</v>
      </c>
      <c r="J289" s="282">
        <f>1454*(100%+20%)</f>
        <v>1744.8</v>
      </c>
    </row>
    <row r="290" spans="1:10" ht="15">
      <c r="A290" s="418" t="s">
        <v>1832</v>
      </c>
      <c r="B290" s="419"/>
      <c r="C290" s="419"/>
      <c r="D290" s="419"/>
      <c r="E290" s="419"/>
      <c r="F290" s="420"/>
      <c r="G290" s="208"/>
      <c r="H290" s="209"/>
      <c r="I290" s="193" t="s">
        <v>9</v>
      </c>
      <c r="J290" s="282">
        <f>1662*(100%+20%)</f>
        <v>1994.3999999999999</v>
      </c>
    </row>
    <row r="291" spans="1:10" ht="15">
      <c r="A291" s="418" t="s">
        <v>1833</v>
      </c>
      <c r="B291" s="419"/>
      <c r="C291" s="419"/>
      <c r="D291" s="419"/>
      <c r="E291" s="419"/>
      <c r="F291" s="420"/>
      <c r="G291" s="208"/>
      <c r="H291" s="209"/>
      <c r="I291" s="193" t="s">
        <v>9</v>
      </c>
      <c r="J291" s="282">
        <f>1379*(100%+20%)</f>
        <v>1654.8</v>
      </c>
    </row>
    <row r="292" spans="1:10" ht="15">
      <c r="A292" s="418" t="s">
        <v>1834</v>
      </c>
      <c r="B292" s="419"/>
      <c r="C292" s="419"/>
      <c r="D292" s="419"/>
      <c r="E292" s="419"/>
      <c r="F292" s="420"/>
      <c r="G292" s="208"/>
      <c r="H292" s="209"/>
      <c r="I292" s="193" t="s">
        <v>9</v>
      </c>
      <c r="J292" s="282">
        <f>1651*(100%+20%)</f>
        <v>1981.1999999999998</v>
      </c>
    </row>
    <row r="293" spans="1:10" ht="15">
      <c r="A293" s="418" t="s">
        <v>1835</v>
      </c>
      <c r="B293" s="419"/>
      <c r="C293" s="419"/>
      <c r="D293" s="419"/>
      <c r="E293" s="419"/>
      <c r="F293" s="420"/>
      <c r="G293" s="208"/>
      <c r="H293" s="209"/>
      <c r="I293" s="193" t="s">
        <v>9</v>
      </c>
      <c r="J293" s="282">
        <f>1205*(100%+20%)</f>
        <v>1446</v>
      </c>
    </row>
    <row r="294" spans="1:10" ht="15">
      <c r="A294" s="418" t="s">
        <v>1836</v>
      </c>
      <c r="B294" s="419"/>
      <c r="C294" s="419"/>
      <c r="D294" s="419"/>
      <c r="E294" s="419"/>
      <c r="F294" s="420"/>
      <c r="G294" s="208"/>
      <c r="H294" s="209"/>
      <c r="I294" s="193" t="s">
        <v>9</v>
      </c>
      <c r="J294" s="282">
        <f>1370*(100%+20%)</f>
        <v>1644</v>
      </c>
    </row>
    <row r="295" spans="1:10" ht="15">
      <c r="A295" s="418" t="s">
        <v>1837</v>
      </c>
      <c r="B295" s="419"/>
      <c r="C295" s="419"/>
      <c r="D295" s="419"/>
      <c r="E295" s="419"/>
      <c r="F295" s="420"/>
      <c r="G295" s="208"/>
      <c r="H295" s="209"/>
      <c r="I295" s="193" t="s">
        <v>9</v>
      </c>
      <c r="J295" s="282">
        <f>863*(100%+20%)</f>
        <v>1035.6</v>
      </c>
    </row>
    <row r="296" spans="1:10" ht="15">
      <c r="A296" s="418" t="s">
        <v>1838</v>
      </c>
      <c r="B296" s="419"/>
      <c r="C296" s="419"/>
      <c r="D296" s="419"/>
      <c r="E296" s="419"/>
      <c r="F296" s="420"/>
      <c r="G296" s="208"/>
      <c r="H296" s="209"/>
      <c r="I296" s="193" t="s">
        <v>9</v>
      </c>
      <c r="J296" s="282">
        <f>920*(100%+20%)</f>
        <v>1104</v>
      </c>
    </row>
    <row r="297" spans="1:10" ht="15">
      <c r="A297" s="418" t="s">
        <v>1839</v>
      </c>
      <c r="B297" s="419"/>
      <c r="C297" s="419"/>
      <c r="D297" s="419"/>
      <c r="E297" s="419"/>
      <c r="F297" s="420"/>
      <c r="G297" s="208"/>
      <c r="H297" s="209"/>
      <c r="I297" s="193" t="s">
        <v>9</v>
      </c>
      <c r="J297" s="282">
        <f>829*(100%+20%)</f>
        <v>994.8</v>
      </c>
    </row>
    <row r="298" spans="1:10" ht="15">
      <c r="A298" s="418" t="s">
        <v>1840</v>
      </c>
      <c r="B298" s="419"/>
      <c r="C298" s="419"/>
      <c r="D298" s="419"/>
      <c r="E298" s="419"/>
      <c r="F298" s="420"/>
      <c r="G298" s="208"/>
      <c r="H298" s="209"/>
      <c r="I298" s="193" t="s">
        <v>9</v>
      </c>
      <c r="J298" s="282">
        <f>862*(100%+20%)</f>
        <v>1034.3999999999999</v>
      </c>
    </row>
    <row r="299" spans="1:10" ht="15">
      <c r="A299" s="418" t="s">
        <v>1841</v>
      </c>
      <c r="B299" s="419"/>
      <c r="C299" s="419"/>
      <c r="D299" s="419"/>
      <c r="E299" s="419"/>
      <c r="F299" s="420"/>
      <c r="G299" s="208"/>
      <c r="H299" s="209"/>
      <c r="I299" s="193" t="s">
        <v>9</v>
      </c>
      <c r="J299" s="282">
        <f>2508*(100%+20%)</f>
        <v>3009.6</v>
      </c>
    </row>
    <row r="300" spans="1:10" ht="15">
      <c r="A300" s="418" t="s">
        <v>1842</v>
      </c>
      <c r="B300" s="419"/>
      <c r="C300" s="419"/>
      <c r="D300" s="419"/>
      <c r="E300" s="419"/>
      <c r="F300" s="420"/>
      <c r="G300" s="208"/>
      <c r="H300" s="209"/>
      <c r="I300" s="193" t="s">
        <v>9</v>
      </c>
      <c r="J300" s="282">
        <f>2780*(100%+20%)</f>
        <v>3336</v>
      </c>
    </row>
    <row r="301" spans="1:10" ht="15">
      <c r="A301" s="418" t="s">
        <v>1843</v>
      </c>
      <c r="B301" s="419"/>
      <c r="C301" s="419"/>
      <c r="D301" s="419"/>
      <c r="E301" s="419"/>
      <c r="F301" s="420"/>
      <c r="G301" s="208"/>
      <c r="H301" s="209"/>
      <c r="I301" s="193" t="s">
        <v>9</v>
      </c>
      <c r="J301" s="282">
        <f>2333*(100%+20%)</f>
        <v>2799.6</v>
      </c>
    </row>
    <row r="302" spans="1:10" ht="15">
      <c r="A302" s="418" t="s">
        <v>1844</v>
      </c>
      <c r="B302" s="419"/>
      <c r="C302" s="419"/>
      <c r="D302" s="419"/>
      <c r="E302" s="419"/>
      <c r="F302" s="420"/>
      <c r="G302" s="208"/>
      <c r="H302" s="209"/>
      <c r="I302" s="193" t="s">
        <v>9</v>
      </c>
      <c r="J302" s="282">
        <f>2501*(100%+20%)</f>
        <v>3001.2</v>
      </c>
    </row>
    <row r="303" spans="1:10" ht="15">
      <c r="A303" s="418" t="s">
        <v>1845</v>
      </c>
      <c r="B303" s="419"/>
      <c r="C303" s="419"/>
      <c r="D303" s="419"/>
      <c r="E303" s="419"/>
      <c r="F303" s="420"/>
      <c r="G303" s="208"/>
      <c r="H303" s="209"/>
      <c r="I303" s="193" t="s">
        <v>9</v>
      </c>
      <c r="J303" s="282">
        <f>2508*(100%+20%)</f>
        <v>3009.6</v>
      </c>
    </row>
    <row r="304" spans="1:10" ht="15">
      <c r="A304" s="418" t="s">
        <v>1846</v>
      </c>
      <c r="B304" s="419"/>
      <c r="C304" s="419"/>
      <c r="D304" s="419"/>
      <c r="E304" s="419"/>
      <c r="F304" s="420"/>
      <c r="G304" s="208"/>
      <c r="H304" s="209"/>
      <c r="I304" s="193" t="s">
        <v>9</v>
      </c>
      <c r="J304" s="282">
        <f>2780*(100%+20%)</f>
        <v>3336</v>
      </c>
    </row>
    <row r="305" spans="1:10" ht="15">
      <c r="A305" s="418" t="s">
        <v>1847</v>
      </c>
      <c r="B305" s="419"/>
      <c r="C305" s="419"/>
      <c r="D305" s="419"/>
      <c r="E305" s="419"/>
      <c r="F305" s="420"/>
      <c r="G305" s="208"/>
      <c r="H305" s="209"/>
      <c r="I305" s="193" t="s">
        <v>9</v>
      </c>
      <c r="J305" s="282">
        <f>2333*(100%+20%)</f>
        <v>2799.6</v>
      </c>
    </row>
    <row r="306" spans="1:10" ht="15">
      <c r="A306" s="418" t="s">
        <v>1848</v>
      </c>
      <c r="B306" s="419"/>
      <c r="C306" s="419"/>
      <c r="D306" s="419"/>
      <c r="E306" s="419"/>
      <c r="F306" s="420"/>
      <c r="G306" s="208"/>
      <c r="H306" s="209"/>
      <c r="I306" s="193" t="s">
        <v>9</v>
      </c>
      <c r="J306" s="282">
        <f>2501*(100%+20%)</f>
        <v>3001.2</v>
      </c>
    </row>
    <row r="307" spans="1:10" ht="15">
      <c r="A307" s="418" t="s">
        <v>1849</v>
      </c>
      <c r="B307" s="419"/>
      <c r="C307" s="419"/>
      <c r="D307" s="419"/>
      <c r="E307" s="419"/>
      <c r="F307" s="420"/>
      <c r="G307" s="208"/>
      <c r="H307" s="209"/>
      <c r="I307" s="193" t="s">
        <v>9</v>
      </c>
      <c r="J307" s="282">
        <f>1760*(100%+20%)</f>
        <v>2112</v>
      </c>
    </row>
    <row r="308" spans="1:10" ht="15">
      <c r="A308" s="418" t="s">
        <v>1850</v>
      </c>
      <c r="B308" s="419"/>
      <c r="C308" s="419"/>
      <c r="D308" s="419"/>
      <c r="E308" s="419"/>
      <c r="F308" s="420"/>
      <c r="G308" s="208"/>
      <c r="H308" s="209"/>
      <c r="I308" s="193" t="s">
        <v>9</v>
      </c>
      <c r="J308" s="282">
        <f>2098*(100%+20%)</f>
        <v>2517.6</v>
      </c>
    </row>
    <row r="309" spans="1:10" ht="15">
      <c r="A309" s="418" t="s">
        <v>1851</v>
      </c>
      <c r="B309" s="419"/>
      <c r="C309" s="419"/>
      <c r="D309" s="419"/>
      <c r="E309" s="419"/>
      <c r="F309" s="420"/>
      <c r="G309" s="208"/>
      <c r="H309" s="209"/>
      <c r="I309" s="193" t="s">
        <v>9</v>
      </c>
      <c r="J309" s="282">
        <f>1540*(100%+20%)</f>
        <v>1848</v>
      </c>
    </row>
    <row r="310" spans="1:10" ht="15">
      <c r="A310" s="418" t="s">
        <v>1852</v>
      </c>
      <c r="B310" s="419"/>
      <c r="C310" s="419"/>
      <c r="D310" s="419"/>
      <c r="E310" s="419"/>
      <c r="F310" s="420"/>
      <c r="G310" s="208"/>
      <c r="H310" s="209"/>
      <c r="I310" s="193" t="s">
        <v>9</v>
      </c>
      <c r="J310" s="282">
        <f>1749*(100%+20%)</f>
        <v>2098.7999999999997</v>
      </c>
    </row>
    <row r="311" spans="1:10" ht="15">
      <c r="A311" s="418" t="s">
        <v>1853</v>
      </c>
      <c r="B311" s="419"/>
      <c r="C311" s="419"/>
      <c r="D311" s="419"/>
      <c r="E311" s="419"/>
      <c r="F311" s="420"/>
      <c r="G311" s="208"/>
      <c r="H311" s="209"/>
      <c r="I311" s="193" t="s">
        <v>9</v>
      </c>
      <c r="J311" s="282">
        <f>1467*(100%+20%)</f>
        <v>1760.3999999999999</v>
      </c>
    </row>
    <row r="312" spans="1:10" ht="15">
      <c r="A312" s="418" t="s">
        <v>1854</v>
      </c>
      <c r="B312" s="419"/>
      <c r="C312" s="419"/>
      <c r="D312" s="419"/>
      <c r="E312" s="419"/>
      <c r="F312" s="420"/>
      <c r="G312" s="208"/>
      <c r="H312" s="209"/>
      <c r="I312" s="193" t="s">
        <v>9</v>
      </c>
      <c r="J312" s="282">
        <f>1738*(100%+20%)</f>
        <v>2085.6</v>
      </c>
    </row>
    <row r="313" spans="1:10" ht="15">
      <c r="A313" s="418" t="s">
        <v>1855</v>
      </c>
      <c r="B313" s="419"/>
      <c r="C313" s="419"/>
      <c r="D313" s="419"/>
      <c r="E313" s="419"/>
      <c r="F313" s="420"/>
      <c r="G313" s="208"/>
      <c r="H313" s="209"/>
      <c r="I313" s="193" t="s">
        <v>9</v>
      </c>
      <c r="J313" s="282">
        <f>1293*(100%+20%)</f>
        <v>1551.6</v>
      </c>
    </row>
    <row r="314" spans="1:10" ht="15">
      <c r="A314" s="418" t="s">
        <v>1856</v>
      </c>
      <c r="B314" s="419"/>
      <c r="C314" s="419"/>
      <c r="D314" s="419"/>
      <c r="E314" s="419"/>
      <c r="F314" s="420"/>
      <c r="G314" s="208"/>
      <c r="H314" s="209"/>
      <c r="I314" s="193" t="s">
        <v>9</v>
      </c>
      <c r="J314" s="282">
        <f>1456*(100%+20%)</f>
        <v>1747.2</v>
      </c>
    </row>
    <row r="315" spans="1:10" ht="15">
      <c r="A315" s="418" t="s">
        <v>1857</v>
      </c>
      <c r="B315" s="419"/>
      <c r="C315" s="419"/>
      <c r="D315" s="419"/>
      <c r="E315" s="419"/>
      <c r="F315" s="420"/>
      <c r="G315" s="208"/>
      <c r="H315" s="209"/>
      <c r="I315" s="193" t="s">
        <v>9</v>
      </c>
      <c r="J315" s="282">
        <f>1091*(100%+20%)</f>
        <v>1309.2</v>
      </c>
    </row>
    <row r="316" spans="1:10" ht="15">
      <c r="A316" s="418" t="s">
        <v>1858</v>
      </c>
      <c r="B316" s="419"/>
      <c r="C316" s="419"/>
      <c r="D316" s="419"/>
      <c r="E316" s="419"/>
      <c r="F316" s="420"/>
      <c r="G316" s="208"/>
      <c r="H316" s="209"/>
      <c r="I316" s="193" t="s">
        <v>9</v>
      </c>
      <c r="J316" s="282">
        <f>1213*(100%+20%)</f>
        <v>1455.6</v>
      </c>
    </row>
    <row r="317" spans="1:10" ht="15">
      <c r="A317" s="418" t="s">
        <v>1859</v>
      </c>
      <c r="B317" s="419"/>
      <c r="C317" s="419"/>
      <c r="D317" s="419"/>
      <c r="E317" s="419"/>
      <c r="F317" s="420"/>
      <c r="G317" s="208"/>
      <c r="H317" s="209"/>
      <c r="I317" s="193" t="s">
        <v>9</v>
      </c>
      <c r="J317" s="282">
        <f>1014*(100%+20%)</f>
        <v>1216.8</v>
      </c>
    </row>
    <row r="318" spans="1:10" ht="15">
      <c r="A318" s="418" t="s">
        <v>1860</v>
      </c>
      <c r="B318" s="419"/>
      <c r="C318" s="419"/>
      <c r="D318" s="419"/>
      <c r="E318" s="419"/>
      <c r="F318" s="420"/>
      <c r="G318" s="208"/>
      <c r="H318" s="209"/>
      <c r="I318" s="193" t="s">
        <v>9</v>
      </c>
      <c r="J318" s="282">
        <f>1090*(100%+20%)</f>
        <v>1308</v>
      </c>
    </row>
    <row r="319" spans="1:10" ht="15">
      <c r="A319" s="418" t="s">
        <v>1861</v>
      </c>
      <c r="B319" s="419"/>
      <c r="C319" s="419"/>
      <c r="D319" s="419"/>
      <c r="E319" s="419"/>
      <c r="F319" s="420"/>
      <c r="G319" s="208"/>
      <c r="H319" s="209"/>
      <c r="I319" s="193" t="s">
        <v>9</v>
      </c>
      <c r="J319" s="282">
        <f>2932*(100%+20%)</f>
        <v>3518.4</v>
      </c>
    </row>
    <row r="320" spans="1:10" ht="15">
      <c r="A320" s="418" t="s">
        <v>1862</v>
      </c>
      <c r="B320" s="419"/>
      <c r="C320" s="419"/>
      <c r="D320" s="419"/>
      <c r="E320" s="419"/>
      <c r="F320" s="420"/>
      <c r="G320" s="208"/>
      <c r="H320" s="209"/>
      <c r="I320" s="193" t="s">
        <v>9</v>
      </c>
      <c r="J320" s="282">
        <f>3204*(100%+20%)</f>
        <v>3844.7999999999997</v>
      </c>
    </row>
    <row r="321" spans="1:10" ht="15">
      <c r="A321" s="418" t="s">
        <v>1863</v>
      </c>
      <c r="B321" s="419"/>
      <c r="C321" s="419"/>
      <c r="D321" s="419"/>
      <c r="E321" s="419"/>
      <c r="F321" s="420"/>
      <c r="G321" s="208"/>
      <c r="H321" s="209"/>
      <c r="I321" s="193" t="s">
        <v>9</v>
      </c>
      <c r="J321" s="282">
        <f>2758*(100%+20%)</f>
        <v>3309.6</v>
      </c>
    </row>
    <row r="322" spans="1:10" ht="15">
      <c r="A322" s="418" t="s">
        <v>1864</v>
      </c>
      <c r="B322" s="419"/>
      <c r="C322" s="419"/>
      <c r="D322" s="419"/>
      <c r="E322" s="419"/>
      <c r="F322" s="420"/>
      <c r="G322" s="208"/>
      <c r="H322" s="209"/>
      <c r="I322" s="193" t="s">
        <v>9</v>
      </c>
      <c r="J322" s="282">
        <f>2924*(100%+20%)</f>
        <v>3508.7999999999997</v>
      </c>
    </row>
    <row r="323" spans="1:10" ht="15">
      <c r="A323" s="418" t="s">
        <v>1865</v>
      </c>
      <c r="B323" s="419"/>
      <c r="C323" s="419"/>
      <c r="D323" s="419"/>
      <c r="E323" s="419"/>
      <c r="F323" s="420"/>
      <c r="G323" s="208"/>
      <c r="H323" s="209"/>
      <c r="I323" s="193" t="s">
        <v>9</v>
      </c>
      <c r="J323" s="282">
        <f>2932*(100%+20%)</f>
        <v>3518.4</v>
      </c>
    </row>
    <row r="324" spans="1:10" ht="15">
      <c r="A324" s="418" t="s">
        <v>1866</v>
      </c>
      <c r="B324" s="419"/>
      <c r="C324" s="419"/>
      <c r="D324" s="419"/>
      <c r="E324" s="419"/>
      <c r="F324" s="420"/>
      <c r="G324" s="208"/>
      <c r="H324" s="209"/>
      <c r="I324" s="193" t="s">
        <v>9</v>
      </c>
      <c r="J324" s="282">
        <f>3204*(100%+20%)</f>
        <v>3844.7999999999997</v>
      </c>
    </row>
    <row r="325" spans="1:10" ht="15">
      <c r="A325" s="418" t="s">
        <v>1867</v>
      </c>
      <c r="B325" s="419"/>
      <c r="C325" s="419"/>
      <c r="D325" s="419"/>
      <c r="E325" s="419"/>
      <c r="F325" s="420"/>
      <c r="G325" s="208"/>
      <c r="H325" s="209"/>
      <c r="I325" s="193" t="s">
        <v>9</v>
      </c>
      <c r="J325" s="282">
        <f>2758*(100%+20%)</f>
        <v>3309.6</v>
      </c>
    </row>
    <row r="326" spans="1:10" ht="15">
      <c r="A326" s="418" t="s">
        <v>1868</v>
      </c>
      <c r="B326" s="419"/>
      <c r="C326" s="419"/>
      <c r="D326" s="419"/>
      <c r="E326" s="419"/>
      <c r="F326" s="420"/>
      <c r="G326" s="208"/>
      <c r="H326" s="209"/>
      <c r="I326" s="193" t="s">
        <v>9</v>
      </c>
      <c r="J326" s="282">
        <f>2924*(100%+20%)</f>
        <v>3508.7999999999997</v>
      </c>
    </row>
    <row r="327" spans="1:10" ht="15">
      <c r="A327" s="418" t="s">
        <v>1869</v>
      </c>
      <c r="B327" s="419"/>
      <c r="C327" s="419"/>
      <c r="D327" s="419"/>
      <c r="E327" s="419"/>
      <c r="F327" s="420"/>
      <c r="G327" s="208"/>
      <c r="H327" s="209"/>
      <c r="I327" s="193" t="s">
        <v>9</v>
      </c>
      <c r="J327" s="282">
        <f>1651*(100%+20%)</f>
        <v>1981.1999999999998</v>
      </c>
    </row>
    <row r="328" spans="1:10" ht="15">
      <c r="A328" s="418" t="s">
        <v>1870</v>
      </c>
      <c r="B328" s="419"/>
      <c r="C328" s="419"/>
      <c r="D328" s="419"/>
      <c r="E328" s="419"/>
      <c r="F328" s="420"/>
      <c r="G328" s="208"/>
      <c r="H328" s="209"/>
      <c r="I328" s="193" t="s">
        <v>9</v>
      </c>
      <c r="J328" s="282">
        <f>1990*(100%+20%)</f>
        <v>2388</v>
      </c>
    </row>
    <row r="329" spans="1:10" ht="15">
      <c r="A329" s="418" t="s">
        <v>1871</v>
      </c>
      <c r="B329" s="419"/>
      <c r="C329" s="419"/>
      <c r="D329" s="419"/>
      <c r="E329" s="419"/>
      <c r="F329" s="420"/>
      <c r="G329" s="208"/>
      <c r="H329" s="209"/>
      <c r="I329" s="193" t="s">
        <v>9</v>
      </c>
      <c r="J329" s="282">
        <f>1433*(100%+20%)</f>
        <v>1719.6</v>
      </c>
    </row>
    <row r="330" spans="1:10" ht="15">
      <c r="A330" s="418" t="s">
        <v>1872</v>
      </c>
      <c r="B330" s="419"/>
      <c r="C330" s="419"/>
      <c r="D330" s="419"/>
      <c r="E330" s="419"/>
      <c r="F330" s="420"/>
      <c r="G330" s="208"/>
      <c r="H330" s="209"/>
      <c r="I330" s="193" t="s">
        <v>9</v>
      </c>
      <c r="J330" s="282">
        <f>1640*(100%+20%)</f>
        <v>1968</v>
      </c>
    </row>
    <row r="331" spans="1:10" ht="15">
      <c r="A331" s="418" t="s">
        <v>1873</v>
      </c>
      <c r="B331" s="419"/>
      <c r="C331" s="419"/>
      <c r="D331" s="419"/>
      <c r="E331" s="419"/>
      <c r="F331" s="420"/>
      <c r="G331" s="208"/>
      <c r="H331" s="209"/>
      <c r="I331" s="193" t="s">
        <v>9</v>
      </c>
      <c r="J331" s="282">
        <f>1357*(100%+20%)</f>
        <v>1628.3999999999999</v>
      </c>
    </row>
    <row r="332" spans="1:10" ht="15">
      <c r="A332" s="418" t="s">
        <v>1874</v>
      </c>
      <c r="B332" s="419"/>
      <c r="C332" s="419"/>
      <c r="D332" s="419"/>
      <c r="E332" s="419"/>
      <c r="F332" s="420"/>
      <c r="G332" s="208"/>
      <c r="H332" s="209"/>
      <c r="I332" s="193" t="s">
        <v>9</v>
      </c>
      <c r="J332" s="282">
        <f>1627*(100%+20%)</f>
        <v>1952.3999999999999</v>
      </c>
    </row>
    <row r="333" spans="1:10" ht="15">
      <c r="A333" s="418" t="s">
        <v>1875</v>
      </c>
      <c r="B333" s="419"/>
      <c r="C333" s="419"/>
      <c r="D333" s="419"/>
      <c r="E333" s="419"/>
      <c r="F333" s="420"/>
      <c r="G333" s="208"/>
      <c r="H333" s="209"/>
      <c r="I333" s="193" t="s">
        <v>9</v>
      </c>
      <c r="J333" s="282">
        <f>1182*(100%+20%)</f>
        <v>1418.3999999999999</v>
      </c>
    </row>
    <row r="334" spans="1:10" ht="15">
      <c r="A334" s="418" t="s">
        <v>1876</v>
      </c>
      <c r="B334" s="419"/>
      <c r="C334" s="419"/>
      <c r="D334" s="419"/>
      <c r="E334" s="419"/>
      <c r="F334" s="420"/>
      <c r="G334" s="208"/>
      <c r="H334" s="209"/>
      <c r="I334" s="193" t="s">
        <v>9</v>
      </c>
      <c r="J334" s="282">
        <f>1348*(100%+20%)</f>
        <v>1617.6</v>
      </c>
    </row>
    <row r="335" spans="1:10" ht="15">
      <c r="A335" s="418" t="s">
        <v>1877</v>
      </c>
      <c r="B335" s="419"/>
      <c r="C335" s="419"/>
      <c r="D335" s="419"/>
      <c r="E335" s="419"/>
      <c r="F335" s="420"/>
      <c r="G335" s="208"/>
      <c r="H335" s="209"/>
      <c r="I335" s="193" t="s">
        <v>9</v>
      </c>
      <c r="J335" s="282">
        <f>1102*(100%+20%)</f>
        <v>1322.3999999999999</v>
      </c>
    </row>
    <row r="336" spans="1:10" ht="15">
      <c r="A336" s="418" t="s">
        <v>1878</v>
      </c>
      <c r="B336" s="419"/>
      <c r="C336" s="419"/>
      <c r="D336" s="419"/>
      <c r="E336" s="419"/>
      <c r="F336" s="420"/>
      <c r="G336" s="208"/>
      <c r="H336" s="209"/>
      <c r="I336" s="193" t="s">
        <v>9</v>
      </c>
      <c r="J336" s="282">
        <f>1156*(100%+20%)</f>
        <v>1387.2</v>
      </c>
    </row>
    <row r="337" spans="1:10" ht="15">
      <c r="A337" s="418" t="s">
        <v>1879</v>
      </c>
      <c r="B337" s="419"/>
      <c r="C337" s="419"/>
      <c r="D337" s="419"/>
      <c r="E337" s="419"/>
      <c r="F337" s="420"/>
      <c r="G337" s="208"/>
      <c r="H337" s="209"/>
      <c r="I337" s="193" t="s">
        <v>9</v>
      </c>
      <c r="J337" s="282">
        <f>1068*(100%+20%)</f>
        <v>1281.6</v>
      </c>
    </row>
    <row r="338" spans="1:10" ht="15">
      <c r="A338" s="418" t="s">
        <v>1880</v>
      </c>
      <c r="B338" s="419"/>
      <c r="C338" s="419"/>
      <c r="D338" s="419"/>
      <c r="E338" s="419"/>
      <c r="F338" s="420"/>
      <c r="G338" s="208"/>
      <c r="H338" s="209"/>
      <c r="I338" s="193" t="s">
        <v>9</v>
      </c>
      <c r="J338" s="282">
        <f>1101*(100%+20%)</f>
        <v>1321.2</v>
      </c>
    </row>
    <row r="339" spans="1:10" ht="15">
      <c r="A339" s="418" t="s">
        <v>1881</v>
      </c>
      <c r="B339" s="419"/>
      <c r="C339" s="419"/>
      <c r="D339" s="419"/>
      <c r="E339" s="419"/>
      <c r="F339" s="420"/>
      <c r="G339" s="208"/>
      <c r="H339" s="209"/>
      <c r="I339" s="193" t="s">
        <v>9</v>
      </c>
      <c r="J339" s="282">
        <f>2662*(100%+20%)</f>
        <v>3194.4</v>
      </c>
    </row>
    <row r="340" spans="1:10" ht="15">
      <c r="A340" s="418" t="s">
        <v>1882</v>
      </c>
      <c r="B340" s="419"/>
      <c r="C340" s="419"/>
      <c r="D340" s="419"/>
      <c r="E340" s="419"/>
      <c r="F340" s="420"/>
      <c r="G340" s="208"/>
      <c r="H340" s="209"/>
      <c r="I340" s="193" t="s">
        <v>9</v>
      </c>
      <c r="J340" s="282">
        <f>3000*(100%+20%)</f>
        <v>3600</v>
      </c>
    </row>
    <row r="341" spans="1:10" ht="15">
      <c r="A341" s="418" t="s">
        <v>1883</v>
      </c>
      <c r="B341" s="419"/>
      <c r="C341" s="419"/>
      <c r="D341" s="419"/>
      <c r="E341" s="419"/>
      <c r="F341" s="420"/>
      <c r="G341" s="208"/>
      <c r="H341" s="209"/>
      <c r="I341" s="193" t="s">
        <v>9</v>
      </c>
      <c r="J341" s="282">
        <f>2442*(100%+20%)</f>
        <v>2930.4</v>
      </c>
    </row>
    <row r="342" spans="1:10" ht="15">
      <c r="A342" s="418" t="s">
        <v>1884</v>
      </c>
      <c r="B342" s="419"/>
      <c r="C342" s="419"/>
      <c r="D342" s="419"/>
      <c r="E342" s="419"/>
      <c r="F342" s="420"/>
      <c r="G342" s="208"/>
      <c r="H342" s="209"/>
      <c r="I342" s="193" t="s">
        <v>9</v>
      </c>
      <c r="J342" s="282">
        <f>2651*(100%+20%)</f>
        <v>3181.2</v>
      </c>
    </row>
    <row r="343" spans="1:10" ht="15">
      <c r="A343" s="418" t="s">
        <v>1885</v>
      </c>
      <c r="B343" s="419"/>
      <c r="C343" s="419"/>
      <c r="D343" s="419"/>
      <c r="E343" s="419"/>
      <c r="F343" s="420"/>
      <c r="G343" s="208"/>
      <c r="H343" s="209"/>
      <c r="I343" s="193" t="s">
        <v>9</v>
      </c>
      <c r="J343" s="282">
        <f>2368*(100%+20%)</f>
        <v>2841.6</v>
      </c>
    </row>
    <row r="344" spans="1:10" ht="15">
      <c r="A344" s="418" t="s">
        <v>1886</v>
      </c>
      <c r="B344" s="419"/>
      <c r="C344" s="419"/>
      <c r="D344" s="419"/>
      <c r="E344" s="419"/>
      <c r="F344" s="420"/>
      <c r="G344" s="208"/>
      <c r="H344" s="209"/>
      <c r="I344" s="193" t="s">
        <v>9</v>
      </c>
      <c r="J344" s="282">
        <f>2641*(100%+20%)</f>
        <v>3169.2</v>
      </c>
    </row>
    <row r="345" spans="1:10" ht="15">
      <c r="A345" s="418" t="s">
        <v>1887</v>
      </c>
      <c r="B345" s="419"/>
      <c r="C345" s="419"/>
      <c r="D345" s="419"/>
      <c r="E345" s="419"/>
      <c r="F345" s="420"/>
      <c r="G345" s="208"/>
      <c r="H345" s="209"/>
      <c r="I345" s="193" t="s">
        <v>9</v>
      </c>
      <c r="J345" s="282">
        <f>2193*(100%+20%)</f>
        <v>2631.6</v>
      </c>
    </row>
    <row r="346" spans="1:10" ht="15">
      <c r="A346" s="418" t="s">
        <v>1888</v>
      </c>
      <c r="B346" s="419"/>
      <c r="C346" s="419"/>
      <c r="D346" s="419"/>
      <c r="E346" s="419"/>
      <c r="F346" s="420"/>
      <c r="G346" s="208"/>
      <c r="H346" s="209"/>
      <c r="I346" s="193" t="s">
        <v>9</v>
      </c>
      <c r="J346" s="282">
        <f>2359*(100%+20%)</f>
        <v>2830.7999999999997</v>
      </c>
    </row>
    <row r="347" spans="1:10" ht="15">
      <c r="A347" s="418" t="s">
        <v>1889</v>
      </c>
      <c r="B347" s="419"/>
      <c r="C347" s="419"/>
      <c r="D347" s="419"/>
      <c r="E347" s="419"/>
      <c r="F347" s="420"/>
      <c r="G347" s="208"/>
      <c r="H347" s="209"/>
      <c r="I347" s="193" t="s">
        <v>9</v>
      </c>
      <c r="J347" s="282">
        <f>2662*(100%+20%)</f>
        <v>3194.4</v>
      </c>
    </row>
    <row r="348" spans="1:10" ht="15">
      <c r="A348" s="418" t="s">
        <v>1890</v>
      </c>
      <c r="B348" s="419"/>
      <c r="C348" s="419"/>
      <c r="D348" s="419"/>
      <c r="E348" s="419"/>
      <c r="F348" s="420"/>
      <c r="G348" s="208"/>
      <c r="H348" s="209"/>
      <c r="I348" s="193" t="s">
        <v>9</v>
      </c>
      <c r="J348" s="282">
        <f>3000*(100%+20%)</f>
        <v>3600</v>
      </c>
    </row>
    <row r="349" spans="1:10" ht="15">
      <c r="A349" s="418" t="s">
        <v>1891</v>
      </c>
      <c r="B349" s="419"/>
      <c r="C349" s="419"/>
      <c r="D349" s="419"/>
      <c r="E349" s="419"/>
      <c r="F349" s="420"/>
      <c r="G349" s="208"/>
      <c r="H349" s="209"/>
      <c r="I349" s="193" t="s">
        <v>9</v>
      </c>
      <c r="J349" s="282">
        <f>2442*(100%+20%)</f>
        <v>2930.4</v>
      </c>
    </row>
    <row r="350" spans="1:10" ht="15">
      <c r="A350" s="418" t="s">
        <v>1892</v>
      </c>
      <c r="B350" s="419"/>
      <c r="C350" s="419"/>
      <c r="D350" s="419"/>
      <c r="E350" s="419"/>
      <c r="F350" s="420"/>
      <c r="G350" s="208"/>
      <c r="H350" s="209"/>
      <c r="I350" s="193" t="s">
        <v>9</v>
      </c>
      <c r="J350" s="282">
        <f>2651*(100%+20%)</f>
        <v>3181.2</v>
      </c>
    </row>
    <row r="351" spans="1:10" ht="15">
      <c r="A351" s="418" t="s">
        <v>1893</v>
      </c>
      <c r="B351" s="419"/>
      <c r="C351" s="419"/>
      <c r="D351" s="419"/>
      <c r="E351" s="419"/>
      <c r="F351" s="420"/>
      <c r="G351" s="208"/>
      <c r="H351" s="209"/>
      <c r="I351" s="193" t="s">
        <v>9</v>
      </c>
      <c r="J351" s="282">
        <f>2368*(100%+20%)</f>
        <v>2841.6</v>
      </c>
    </row>
    <row r="352" spans="1:10" ht="15">
      <c r="A352" s="418" t="s">
        <v>1894</v>
      </c>
      <c r="B352" s="419"/>
      <c r="C352" s="419"/>
      <c r="D352" s="419"/>
      <c r="E352" s="419"/>
      <c r="F352" s="420"/>
      <c r="G352" s="208"/>
      <c r="H352" s="209"/>
      <c r="I352" s="193" t="s">
        <v>9</v>
      </c>
      <c r="J352" s="282">
        <f>2641*(100%+20%)</f>
        <v>3169.2</v>
      </c>
    </row>
    <row r="353" spans="1:10" ht="15">
      <c r="A353" s="418" t="s">
        <v>1895</v>
      </c>
      <c r="B353" s="419"/>
      <c r="C353" s="419"/>
      <c r="D353" s="419"/>
      <c r="E353" s="419"/>
      <c r="F353" s="420"/>
      <c r="G353" s="208"/>
      <c r="H353" s="209"/>
      <c r="I353" s="193" t="s">
        <v>9</v>
      </c>
      <c r="J353" s="282">
        <f>2193*(100%+20%)</f>
        <v>2631.6</v>
      </c>
    </row>
    <row r="354" spans="1:10" ht="15">
      <c r="A354" s="418" t="s">
        <v>1896</v>
      </c>
      <c r="B354" s="419"/>
      <c r="C354" s="419"/>
      <c r="D354" s="419"/>
      <c r="E354" s="419"/>
      <c r="F354" s="420"/>
      <c r="G354" s="208"/>
      <c r="H354" s="209"/>
      <c r="I354" s="193" t="s">
        <v>9</v>
      </c>
      <c r="J354" s="282">
        <f>2359*(100%+20%)</f>
        <v>2830.7999999999997</v>
      </c>
    </row>
    <row r="355" spans="1:10" ht="15">
      <c r="A355" s="418" t="s">
        <v>1897</v>
      </c>
      <c r="B355" s="419"/>
      <c r="C355" s="419"/>
      <c r="D355" s="419"/>
      <c r="E355" s="419"/>
      <c r="F355" s="420"/>
      <c r="G355" s="208"/>
      <c r="H355" s="209"/>
      <c r="I355" s="193" t="s">
        <v>9</v>
      </c>
      <c r="J355" s="282">
        <f>1838*(100%+20%)</f>
        <v>2205.6</v>
      </c>
    </row>
    <row r="356" spans="1:10" ht="15">
      <c r="A356" s="418" t="s">
        <v>1898</v>
      </c>
      <c r="B356" s="419"/>
      <c r="C356" s="419"/>
      <c r="D356" s="419"/>
      <c r="E356" s="419"/>
      <c r="F356" s="420"/>
      <c r="G356" s="208"/>
      <c r="H356" s="209"/>
      <c r="I356" s="193" t="s">
        <v>9</v>
      </c>
      <c r="J356" s="282">
        <f>2176*(100%+20%)</f>
        <v>2611.2</v>
      </c>
    </row>
    <row r="357" spans="1:10" ht="15">
      <c r="A357" s="418" t="s">
        <v>1899</v>
      </c>
      <c r="B357" s="419"/>
      <c r="C357" s="419"/>
      <c r="D357" s="419"/>
      <c r="E357" s="419"/>
      <c r="F357" s="420"/>
      <c r="G357" s="208"/>
      <c r="H357" s="209"/>
      <c r="I357" s="193" t="s">
        <v>9</v>
      </c>
      <c r="J357" s="282">
        <f>1621*(100%+20%)</f>
        <v>1945.1999999999998</v>
      </c>
    </row>
    <row r="358" spans="1:10" ht="15">
      <c r="A358" s="418" t="s">
        <v>1900</v>
      </c>
      <c r="B358" s="419"/>
      <c r="C358" s="419"/>
      <c r="D358" s="419"/>
      <c r="E358" s="419"/>
      <c r="F358" s="420"/>
      <c r="G358" s="208"/>
      <c r="H358" s="209"/>
      <c r="I358" s="193" t="s">
        <v>9</v>
      </c>
      <c r="J358" s="282">
        <f>1827*(100%+20%)</f>
        <v>2192.4</v>
      </c>
    </row>
    <row r="359" spans="1:10" ht="15">
      <c r="A359" s="418" t="s">
        <v>1901</v>
      </c>
      <c r="B359" s="419"/>
      <c r="C359" s="419"/>
      <c r="D359" s="419"/>
      <c r="E359" s="419"/>
      <c r="F359" s="420"/>
      <c r="G359" s="208"/>
      <c r="H359" s="209"/>
      <c r="I359" s="193" t="s">
        <v>9</v>
      </c>
      <c r="J359" s="282">
        <f>1545*(100%+20%)</f>
        <v>1854</v>
      </c>
    </row>
    <row r="360" spans="1:10" ht="15">
      <c r="A360" s="418" t="s">
        <v>1902</v>
      </c>
      <c r="B360" s="419"/>
      <c r="C360" s="419"/>
      <c r="D360" s="419"/>
      <c r="E360" s="419"/>
      <c r="F360" s="420"/>
      <c r="G360" s="208"/>
      <c r="H360" s="209"/>
      <c r="I360" s="193" t="s">
        <v>9</v>
      </c>
      <c r="J360" s="282">
        <f>1817*(100%+20%)</f>
        <v>2180.4</v>
      </c>
    </row>
    <row r="361" spans="1:10" ht="15">
      <c r="A361" s="418" t="s">
        <v>1903</v>
      </c>
      <c r="B361" s="419"/>
      <c r="C361" s="419"/>
      <c r="D361" s="419"/>
      <c r="E361" s="419"/>
      <c r="F361" s="420"/>
      <c r="G361" s="208"/>
      <c r="H361" s="209"/>
      <c r="I361" s="193" t="s">
        <v>9</v>
      </c>
      <c r="J361" s="282">
        <f>1370*(100%+20%)</f>
        <v>1644</v>
      </c>
    </row>
    <row r="362" spans="1:10" ht="15">
      <c r="A362" s="418" t="s">
        <v>1904</v>
      </c>
      <c r="B362" s="419"/>
      <c r="C362" s="419"/>
      <c r="D362" s="419"/>
      <c r="E362" s="419"/>
      <c r="F362" s="420"/>
      <c r="G362" s="208"/>
      <c r="H362" s="209"/>
      <c r="I362" s="193" t="s">
        <v>9</v>
      </c>
      <c r="J362" s="282">
        <f>1538*(100%+20%)</f>
        <v>1845.6</v>
      </c>
    </row>
    <row r="363" spans="1:10" ht="15">
      <c r="A363" s="418" t="s">
        <v>1905</v>
      </c>
      <c r="B363" s="419"/>
      <c r="C363" s="419"/>
      <c r="D363" s="419"/>
      <c r="E363" s="419"/>
      <c r="F363" s="420"/>
      <c r="G363" s="208"/>
      <c r="H363" s="209"/>
      <c r="I363" s="193" t="s">
        <v>9</v>
      </c>
      <c r="J363" s="282">
        <f>1210*(100%+20%)</f>
        <v>1452</v>
      </c>
    </row>
    <row r="364" spans="1:10" ht="15">
      <c r="A364" s="418" t="s">
        <v>1906</v>
      </c>
      <c r="B364" s="419"/>
      <c r="C364" s="419"/>
      <c r="D364" s="419"/>
      <c r="E364" s="419"/>
      <c r="F364" s="420"/>
      <c r="G364" s="208"/>
      <c r="H364" s="209"/>
      <c r="I364" s="193" t="s">
        <v>9</v>
      </c>
      <c r="J364" s="282">
        <f>1293*(100%+20%)</f>
        <v>1551.6</v>
      </c>
    </row>
    <row r="365" spans="1:10" ht="15">
      <c r="A365" s="418" t="s">
        <v>1907</v>
      </c>
      <c r="B365" s="419"/>
      <c r="C365" s="419"/>
      <c r="D365" s="419"/>
      <c r="E365" s="419"/>
      <c r="F365" s="420"/>
      <c r="G365" s="208"/>
      <c r="H365" s="209"/>
      <c r="I365" s="193" t="s">
        <v>9</v>
      </c>
      <c r="J365" s="282">
        <f>1157*(100%+20%)</f>
        <v>1388.3999999999999</v>
      </c>
    </row>
    <row r="366" spans="1:10" ht="15">
      <c r="A366" s="418" t="s">
        <v>1908</v>
      </c>
      <c r="B366" s="419"/>
      <c r="C366" s="419"/>
      <c r="D366" s="419"/>
      <c r="E366" s="419"/>
      <c r="F366" s="420"/>
      <c r="G366" s="208"/>
      <c r="H366" s="209"/>
      <c r="I366" s="193" t="s">
        <v>9</v>
      </c>
      <c r="J366" s="282">
        <f>1208*(100%+20%)</f>
        <v>1449.6</v>
      </c>
    </row>
    <row r="367" spans="1:10" ht="15">
      <c r="A367" s="418" t="s">
        <v>1909</v>
      </c>
      <c r="B367" s="419"/>
      <c r="C367" s="419"/>
      <c r="D367" s="419"/>
      <c r="E367" s="419"/>
      <c r="F367" s="420"/>
      <c r="G367" s="208"/>
      <c r="H367" s="209"/>
      <c r="I367" s="193" t="s">
        <v>9</v>
      </c>
      <c r="J367" s="282">
        <f>1905*(100%+20%)</f>
        <v>2286</v>
      </c>
    </row>
    <row r="368" spans="1:10" ht="15">
      <c r="A368" s="418" t="s">
        <v>1910</v>
      </c>
      <c r="B368" s="419"/>
      <c r="C368" s="419"/>
      <c r="D368" s="419"/>
      <c r="E368" s="419"/>
      <c r="F368" s="420"/>
      <c r="G368" s="208"/>
      <c r="H368" s="209"/>
      <c r="I368" s="193" t="s">
        <v>9</v>
      </c>
      <c r="J368" s="282">
        <f>2242*(100%+20%)</f>
        <v>2690.4</v>
      </c>
    </row>
    <row r="369" spans="1:10" ht="15">
      <c r="A369" s="418" t="s">
        <v>1911</v>
      </c>
      <c r="B369" s="419"/>
      <c r="C369" s="419"/>
      <c r="D369" s="419"/>
      <c r="E369" s="419"/>
      <c r="F369" s="420"/>
      <c r="G369" s="208"/>
      <c r="H369" s="209"/>
      <c r="I369" s="193" t="s">
        <v>9</v>
      </c>
      <c r="J369" s="282">
        <f>1686*(100%+20%)</f>
        <v>2023.1999999999998</v>
      </c>
    </row>
    <row r="370" spans="1:10" ht="15">
      <c r="A370" s="418" t="s">
        <v>1912</v>
      </c>
      <c r="B370" s="419"/>
      <c r="C370" s="419"/>
      <c r="D370" s="419"/>
      <c r="E370" s="419"/>
      <c r="F370" s="420"/>
      <c r="G370" s="208"/>
      <c r="H370" s="209"/>
      <c r="I370" s="193" t="s">
        <v>9</v>
      </c>
      <c r="J370" s="282">
        <f>1892*(100%+20%)</f>
        <v>2270.4</v>
      </c>
    </row>
    <row r="371" spans="1:10" ht="15">
      <c r="A371" s="418" t="s">
        <v>1913</v>
      </c>
      <c r="B371" s="419"/>
      <c r="C371" s="419"/>
      <c r="D371" s="419"/>
      <c r="E371" s="419"/>
      <c r="F371" s="420"/>
      <c r="G371" s="208"/>
      <c r="H371" s="209"/>
      <c r="I371" s="193" t="s">
        <v>9</v>
      </c>
      <c r="J371" s="282">
        <f>1611*(100%+20%)</f>
        <v>1933.1999999999998</v>
      </c>
    </row>
    <row r="372" spans="1:10" ht="15">
      <c r="A372" s="418" t="s">
        <v>1914</v>
      </c>
      <c r="B372" s="419"/>
      <c r="C372" s="419"/>
      <c r="D372" s="419"/>
      <c r="E372" s="419"/>
      <c r="F372" s="420"/>
      <c r="G372" s="208"/>
      <c r="H372" s="209"/>
      <c r="I372" s="193" t="s">
        <v>9</v>
      </c>
      <c r="J372" s="282">
        <f>1882*(100%+20%)</f>
        <v>2258.4</v>
      </c>
    </row>
    <row r="373" spans="1:10" ht="15">
      <c r="A373" s="418" t="s">
        <v>1915</v>
      </c>
      <c r="B373" s="419"/>
      <c r="C373" s="419"/>
      <c r="D373" s="419"/>
      <c r="E373" s="419"/>
      <c r="F373" s="420"/>
      <c r="G373" s="208"/>
      <c r="H373" s="209"/>
      <c r="I373" s="193" t="s">
        <v>9</v>
      </c>
      <c r="J373" s="282">
        <f>1434*(100%+20%)</f>
        <v>1720.8</v>
      </c>
    </row>
    <row r="374" spans="1:10" ht="15">
      <c r="A374" s="418" t="s">
        <v>1916</v>
      </c>
      <c r="B374" s="419"/>
      <c r="C374" s="419"/>
      <c r="D374" s="419"/>
      <c r="E374" s="419"/>
      <c r="F374" s="420"/>
      <c r="G374" s="208"/>
      <c r="H374" s="209"/>
      <c r="I374" s="193" t="s">
        <v>9</v>
      </c>
      <c r="J374" s="282">
        <f>1603*(100%+20%)</f>
        <v>1923.6</v>
      </c>
    </row>
    <row r="375" spans="1:10" ht="15">
      <c r="A375" s="418" t="s">
        <v>1917</v>
      </c>
      <c r="B375" s="419"/>
      <c r="C375" s="419"/>
      <c r="D375" s="419"/>
      <c r="E375" s="419"/>
      <c r="F375" s="420"/>
      <c r="G375" s="208"/>
      <c r="H375" s="209"/>
      <c r="I375" s="193" t="s">
        <v>9</v>
      </c>
      <c r="J375" s="282">
        <f>597*(100%+20%)</f>
        <v>716.4</v>
      </c>
    </row>
    <row r="376" spans="1:10" ht="15">
      <c r="A376" s="418" t="s">
        <v>1918</v>
      </c>
      <c r="B376" s="419"/>
      <c r="C376" s="419"/>
      <c r="D376" s="419"/>
      <c r="E376" s="419"/>
      <c r="F376" s="420"/>
      <c r="G376" s="208"/>
      <c r="H376" s="209"/>
      <c r="I376" s="193" t="s">
        <v>9</v>
      </c>
      <c r="J376" s="282">
        <f>680*(100%+20%)</f>
        <v>816</v>
      </c>
    </row>
    <row r="377" spans="1:10" ht="15">
      <c r="A377" s="418" t="s">
        <v>1919</v>
      </c>
      <c r="B377" s="419"/>
      <c r="C377" s="419"/>
      <c r="D377" s="419"/>
      <c r="E377" s="419"/>
      <c r="F377" s="420"/>
      <c r="G377" s="208"/>
      <c r="H377" s="209"/>
      <c r="I377" s="193" t="s">
        <v>9</v>
      </c>
      <c r="J377" s="282">
        <f>544*(100%+20%)</f>
        <v>652.8</v>
      </c>
    </row>
    <row r="378" spans="1:10" ht="15">
      <c r="A378" s="418" t="s">
        <v>1920</v>
      </c>
      <c r="B378" s="419"/>
      <c r="C378" s="419"/>
      <c r="D378" s="419"/>
      <c r="E378" s="419"/>
      <c r="F378" s="420"/>
      <c r="G378" s="208"/>
      <c r="H378" s="209"/>
      <c r="I378" s="193" t="s">
        <v>9</v>
      </c>
      <c r="J378" s="282">
        <f>595*(100%+20%)</f>
        <v>714</v>
      </c>
    </row>
    <row r="379" spans="1:10" ht="15">
      <c r="A379" s="418" t="s">
        <v>1921</v>
      </c>
      <c r="B379" s="419"/>
      <c r="C379" s="419"/>
      <c r="D379" s="419"/>
      <c r="E379" s="419"/>
      <c r="F379" s="420"/>
      <c r="G379" s="208"/>
      <c r="H379" s="209"/>
      <c r="I379" s="193" t="s">
        <v>9</v>
      </c>
      <c r="J379" s="282">
        <f>2823*(100%+20%)</f>
        <v>3387.6</v>
      </c>
    </row>
    <row r="380" spans="1:10" ht="15">
      <c r="A380" s="418" t="s">
        <v>1922</v>
      </c>
      <c r="B380" s="419"/>
      <c r="C380" s="419"/>
      <c r="D380" s="419"/>
      <c r="E380" s="419"/>
      <c r="F380" s="420"/>
      <c r="G380" s="208"/>
      <c r="H380" s="209"/>
      <c r="I380" s="193" t="s">
        <v>9</v>
      </c>
      <c r="J380" s="282">
        <f>3161*(100%+20%)</f>
        <v>3793.2</v>
      </c>
    </row>
    <row r="381" spans="1:10" ht="15">
      <c r="A381" s="418" t="s">
        <v>1923</v>
      </c>
      <c r="B381" s="419"/>
      <c r="C381" s="419"/>
      <c r="D381" s="419"/>
      <c r="E381" s="419"/>
      <c r="F381" s="420"/>
      <c r="G381" s="208"/>
      <c r="H381" s="209"/>
      <c r="I381" s="193" t="s">
        <v>9</v>
      </c>
      <c r="J381" s="282">
        <f>2606*(100%+20%)</f>
        <v>3127.2</v>
      </c>
    </row>
    <row r="382" spans="1:10" ht="15">
      <c r="A382" s="418" t="s">
        <v>1924</v>
      </c>
      <c r="B382" s="419"/>
      <c r="C382" s="419"/>
      <c r="D382" s="419"/>
      <c r="E382" s="419"/>
      <c r="F382" s="420"/>
      <c r="G382" s="208"/>
      <c r="H382" s="209"/>
      <c r="I382" s="193" t="s">
        <v>9</v>
      </c>
      <c r="J382" s="282">
        <f>2812*(100%+20%)</f>
        <v>3374.4</v>
      </c>
    </row>
    <row r="383" spans="1:10" ht="15">
      <c r="A383" s="418" t="s">
        <v>1925</v>
      </c>
      <c r="B383" s="419"/>
      <c r="C383" s="419"/>
      <c r="D383" s="419"/>
      <c r="E383" s="419"/>
      <c r="F383" s="420"/>
      <c r="G383" s="208"/>
      <c r="H383" s="209"/>
      <c r="I383" s="193" t="s">
        <v>9</v>
      </c>
      <c r="J383" s="282">
        <f>2530*(100%+20%)</f>
        <v>3036</v>
      </c>
    </row>
    <row r="384" spans="1:10" ht="15">
      <c r="A384" s="418" t="s">
        <v>1926</v>
      </c>
      <c r="B384" s="419"/>
      <c r="C384" s="419"/>
      <c r="D384" s="419"/>
      <c r="E384" s="419"/>
      <c r="F384" s="420"/>
      <c r="G384" s="208"/>
      <c r="H384" s="209"/>
      <c r="I384" s="193" t="s">
        <v>9</v>
      </c>
      <c r="J384" s="282">
        <f>2801*(100%+20%)</f>
        <v>3361.2</v>
      </c>
    </row>
    <row r="385" spans="1:10" ht="15">
      <c r="A385" s="418" t="s">
        <v>1927</v>
      </c>
      <c r="B385" s="419"/>
      <c r="C385" s="419"/>
      <c r="D385" s="419"/>
      <c r="E385" s="419"/>
      <c r="F385" s="420"/>
      <c r="G385" s="208"/>
      <c r="H385" s="209"/>
      <c r="I385" s="193" t="s">
        <v>9</v>
      </c>
      <c r="J385" s="282">
        <f>2355*(100%+20%)</f>
        <v>2826</v>
      </c>
    </row>
    <row r="386" spans="1:10" ht="15">
      <c r="A386" s="418" t="s">
        <v>1928</v>
      </c>
      <c r="B386" s="419"/>
      <c r="C386" s="419"/>
      <c r="D386" s="419"/>
      <c r="E386" s="419"/>
      <c r="F386" s="420"/>
      <c r="G386" s="208"/>
      <c r="H386" s="209"/>
      <c r="I386" s="193" t="s">
        <v>9</v>
      </c>
      <c r="J386" s="282">
        <f>2522*(100%+20%)</f>
        <v>3026.4</v>
      </c>
    </row>
    <row r="387" spans="1:10" ht="15">
      <c r="A387" s="418" t="s">
        <v>1929</v>
      </c>
      <c r="B387" s="419"/>
      <c r="C387" s="419"/>
      <c r="D387" s="419"/>
      <c r="E387" s="419"/>
      <c r="F387" s="420"/>
      <c r="G387" s="208"/>
      <c r="H387" s="209"/>
      <c r="I387" s="193" t="s">
        <v>9</v>
      </c>
      <c r="J387" s="282">
        <f>2823*(100%+20%)</f>
        <v>3387.6</v>
      </c>
    </row>
    <row r="388" spans="1:10" ht="15">
      <c r="A388" s="418" t="s">
        <v>1930</v>
      </c>
      <c r="B388" s="419"/>
      <c r="C388" s="419"/>
      <c r="D388" s="419"/>
      <c r="E388" s="419"/>
      <c r="F388" s="420"/>
      <c r="G388" s="208"/>
      <c r="H388" s="209"/>
      <c r="I388" s="193" t="s">
        <v>9</v>
      </c>
      <c r="J388" s="282">
        <f>3161*(100%+20%)</f>
        <v>3793.2</v>
      </c>
    </row>
    <row r="389" spans="1:10" ht="15">
      <c r="A389" s="418" t="s">
        <v>1931</v>
      </c>
      <c r="B389" s="419"/>
      <c r="C389" s="419"/>
      <c r="D389" s="419"/>
      <c r="E389" s="419"/>
      <c r="F389" s="420"/>
      <c r="G389" s="208"/>
      <c r="H389" s="209"/>
      <c r="I389" s="193" t="s">
        <v>9</v>
      </c>
      <c r="J389" s="282">
        <f>2606*(100%+20%)</f>
        <v>3127.2</v>
      </c>
    </row>
    <row r="390" spans="1:10" ht="15">
      <c r="A390" s="418" t="s">
        <v>1932</v>
      </c>
      <c r="B390" s="419"/>
      <c r="C390" s="419"/>
      <c r="D390" s="419"/>
      <c r="E390" s="419"/>
      <c r="F390" s="420"/>
      <c r="G390" s="208"/>
      <c r="H390" s="209"/>
      <c r="I390" s="193" t="s">
        <v>9</v>
      </c>
      <c r="J390" s="282">
        <f>2812*(100%+20%)</f>
        <v>3374.4</v>
      </c>
    </row>
    <row r="391" spans="1:10" ht="15">
      <c r="A391" s="418" t="s">
        <v>1933</v>
      </c>
      <c r="B391" s="419"/>
      <c r="C391" s="419"/>
      <c r="D391" s="419"/>
      <c r="E391" s="419"/>
      <c r="F391" s="420"/>
      <c r="G391" s="208"/>
      <c r="H391" s="209"/>
      <c r="I391" s="193" t="s">
        <v>9</v>
      </c>
      <c r="J391" s="282">
        <f>2530*(100%+20%)</f>
        <v>3036</v>
      </c>
    </row>
    <row r="392" spans="1:10" ht="15">
      <c r="A392" s="418" t="s">
        <v>1934</v>
      </c>
      <c r="B392" s="419"/>
      <c r="C392" s="419"/>
      <c r="D392" s="419"/>
      <c r="E392" s="419"/>
      <c r="F392" s="420"/>
      <c r="G392" s="208"/>
      <c r="H392" s="209"/>
      <c r="I392" s="193" t="s">
        <v>9</v>
      </c>
      <c r="J392" s="282">
        <f>2801*(100%+20%)</f>
        <v>3361.2</v>
      </c>
    </row>
    <row r="393" spans="1:10" ht="15">
      <c r="A393" s="418" t="s">
        <v>1935</v>
      </c>
      <c r="B393" s="419"/>
      <c r="C393" s="419"/>
      <c r="D393" s="419"/>
      <c r="E393" s="419"/>
      <c r="F393" s="420"/>
      <c r="G393" s="208"/>
      <c r="H393" s="209"/>
      <c r="I393" s="193" t="s">
        <v>9</v>
      </c>
      <c r="J393" s="282">
        <f>2355*(100%+20%)</f>
        <v>2826</v>
      </c>
    </row>
    <row r="394" spans="1:10" ht="15">
      <c r="A394" s="418" t="s">
        <v>1936</v>
      </c>
      <c r="B394" s="419"/>
      <c r="C394" s="419"/>
      <c r="D394" s="419"/>
      <c r="E394" s="419"/>
      <c r="F394" s="420"/>
      <c r="G394" s="208"/>
      <c r="H394" s="209"/>
      <c r="I394" s="193" t="s">
        <v>9</v>
      </c>
      <c r="J394" s="282">
        <f>2522*(100%+20%)</f>
        <v>3026.4</v>
      </c>
    </row>
    <row r="395" spans="1:10" ht="15">
      <c r="A395" s="418" t="s">
        <v>1937</v>
      </c>
      <c r="B395" s="419"/>
      <c r="C395" s="419"/>
      <c r="D395" s="419"/>
      <c r="E395" s="419"/>
      <c r="F395" s="420"/>
      <c r="G395" s="208"/>
      <c r="H395" s="209"/>
      <c r="I395" s="193" t="s">
        <v>9</v>
      </c>
      <c r="J395" s="282">
        <f>1905*(100%+20%)</f>
        <v>2286</v>
      </c>
    </row>
    <row r="396" spans="1:10" ht="15">
      <c r="A396" s="418" t="s">
        <v>1938</v>
      </c>
      <c r="B396" s="419"/>
      <c r="C396" s="419"/>
      <c r="D396" s="419"/>
      <c r="E396" s="419"/>
      <c r="F396" s="420"/>
      <c r="G396" s="208"/>
      <c r="H396" s="209"/>
      <c r="I396" s="193" t="s">
        <v>9</v>
      </c>
      <c r="J396" s="282">
        <f>2242*(100%+20%)</f>
        <v>2690.4</v>
      </c>
    </row>
    <row r="397" spans="1:10" ht="15">
      <c r="A397" s="418" t="s">
        <v>1939</v>
      </c>
      <c r="B397" s="419"/>
      <c r="C397" s="419"/>
      <c r="D397" s="419"/>
      <c r="E397" s="419"/>
      <c r="F397" s="420"/>
      <c r="G397" s="208"/>
      <c r="H397" s="209"/>
      <c r="I397" s="193" t="s">
        <v>9</v>
      </c>
      <c r="J397" s="282">
        <f>1686*(100%+20%)</f>
        <v>2023.1999999999998</v>
      </c>
    </row>
    <row r="398" spans="1:10" ht="15">
      <c r="A398" s="418" t="s">
        <v>1940</v>
      </c>
      <c r="B398" s="419"/>
      <c r="C398" s="419"/>
      <c r="D398" s="419"/>
      <c r="E398" s="419"/>
      <c r="F398" s="420"/>
      <c r="G398" s="208"/>
      <c r="H398" s="209"/>
      <c r="I398" s="193" t="s">
        <v>9</v>
      </c>
      <c r="J398" s="282">
        <f>1892*(100%+20%)</f>
        <v>2270.4</v>
      </c>
    </row>
    <row r="399" spans="1:10" ht="15">
      <c r="A399" s="418" t="s">
        <v>1941</v>
      </c>
      <c r="B399" s="419"/>
      <c r="C399" s="419"/>
      <c r="D399" s="419"/>
      <c r="E399" s="419"/>
      <c r="F399" s="420"/>
      <c r="G399" s="208"/>
      <c r="H399" s="209"/>
      <c r="I399" s="193" t="s">
        <v>9</v>
      </c>
      <c r="J399" s="282">
        <f>1611*(100%+20%)</f>
        <v>1933.1999999999998</v>
      </c>
    </row>
    <row r="400" spans="1:10" ht="15">
      <c r="A400" s="418" t="s">
        <v>1942</v>
      </c>
      <c r="B400" s="419"/>
      <c r="C400" s="419"/>
      <c r="D400" s="419"/>
      <c r="E400" s="419"/>
      <c r="F400" s="420"/>
      <c r="G400" s="208"/>
      <c r="H400" s="209"/>
      <c r="I400" s="193" t="s">
        <v>9</v>
      </c>
      <c r="J400" s="282">
        <f>1882*(100%+20%)</f>
        <v>2258.4</v>
      </c>
    </row>
    <row r="401" spans="1:10" ht="15">
      <c r="A401" s="418" t="s">
        <v>1943</v>
      </c>
      <c r="B401" s="419"/>
      <c r="C401" s="419"/>
      <c r="D401" s="419"/>
      <c r="E401" s="419"/>
      <c r="F401" s="420"/>
      <c r="G401" s="208"/>
      <c r="H401" s="209"/>
      <c r="I401" s="193" t="s">
        <v>9</v>
      </c>
      <c r="J401" s="282">
        <f>1434*(100%+20%)</f>
        <v>1720.8</v>
      </c>
    </row>
    <row r="402" spans="1:10" ht="15">
      <c r="A402" s="418" t="s">
        <v>1944</v>
      </c>
      <c r="B402" s="419"/>
      <c r="C402" s="419"/>
      <c r="D402" s="419"/>
      <c r="E402" s="419"/>
      <c r="F402" s="420"/>
      <c r="G402" s="208"/>
      <c r="H402" s="209"/>
      <c r="I402" s="193" t="s">
        <v>9</v>
      </c>
      <c r="J402" s="282">
        <f>1603*(100%+20%)</f>
        <v>1923.6</v>
      </c>
    </row>
    <row r="403" spans="1:10" ht="15">
      <c r="A403" s="418" t="s">
        <v>1945</v>
      </c>
      <c r="B403" s="419"/>
      <c r="C403" s="419"/>
      <c r="D403" s="419"/>
      <c r="E403" s="419"/>
      <c r="F403" s="420"/>
      <c r="G403" s="208"/>
      <c r="H403" s="209"/>
      <c r="I403" s="193" t="s">
        <v>9</v>
      </c>
      <c r="J403" s="282">
        <f>597*(100%+20%)</f>
        <v>716.4</v>
      </c>
    </row>
    <row r="404" spans="1:10" ht="15">
      <c r="A404" s="418" t="s">
        <v>1946</v>
      </c>
      <c r="B404" s="419"/>
      <c r="C404" s="419"/>
      <c r="D404" s="419"/>
      <c r="E404" s="419"/>
      <c r="F404" s="420"/>
      <c r="G404" s="208"/>
      <c r="H404" s="209"/>
      <c r="I404" s="193" t="s">
        <v>9</v>
      </c>
      <c r="J404" s="282">
        <f>680*(100%+20%)</f>
        <v>816</v>
      </c>
    </row>
    <row r="405" spans="1:10" ht="15">
      <c r="A405" s="418" t="s">
        <v>1947</v>
      </c>
      <c r="B405" s="419"/>
      <c r="C405" s="419"/>
      <c r="D405" s="419"/>
      <c r="E405" s="419"/>
      <c r="F405" s="420"/>
      <c r="G405" s="208"/>
      <c r="H405" s="209"/>
      <c r="I405" s="193" t="s">
        <v>9</v>
      </c>
      <c r="J405" s="282">
        <f>544*(100%+20%)</f>
        <v>652.8</v>
      </c>
    </row>
    <row r="406" spans="1:10" ht="15">
      <c r="A406" s="418" t="s">
        <v>1948</v>
      </c>
      <c r="B406" s="419"/>
      <c r="C406" s="419"/>
      <c r="D406" s="419"/>
      <c r="E406" s="419"/>
      <c r="F406" s="420"/>
      <c r="G406" s="208"/>
      <c r="H406" s="209"/>
      <c r="I406" s="193" t="s">
        <v>9</v>
      </c>
      <c r="J406" s="282">
        <f>595*(100%+20%)</f>
        <v>714</v>
      </c>
    </row>
    <row r="407" spans="1:10" ht="15">
      <c r="A407" s="418" t="s">
        <v>1949</v>
      </c>
      <c r="B407" s="419"/>
      <c r="C407" s="419"/>
      <c r="D407" s="419"/>
      <c r="E407" s="419"/>
      <c r="F407" s="420"/>
      <c r="G407" s="208"/>
      <c r="H407" s="209"/>
      <c r="I407" s="193" t="s">
        <v>9</v>
      </c>
      <c r="J407" s="282">
        <f>2780*(100%+20%)</f>
        <v>3336</v>
      </c>
    </row>
    <row r="408" spans="1:10" ht="15">
      <c r="A408" s="418" t="s">
        <v>1950</v>
      </c>
      <c r="B408" s="419"/>
      <c r="C408" s="419"/>
      <c r="D408" s="419"/>
      <c r="E408" s="419"/>
      <c r="F408" s="420"/>
      <c r="G408" s="208"/>
      <c r="H408" s="209"/>
      <c r="I408" s="193" t="s">
        <v>9</v>
      </c>
      <c r="J408" s="282">
        <f>3117*(100%+20%)</f>
        <v>3740.3999999999996</v>
      </c>
    </row>
    <row r="409" spans="1:10" ht="15">
      <c r="A409" s="418" t="s">
        <v>1951</v>
      </c>
      <c r="B409" s="419"/>
      <c r="C409" s="419"/>
      <c r="D409" s="419"/>
      <c r="E409" s="419"/>
      <c r="F409" s="420"/>
      <c r="G409" s="208"/>
      <c r="H409" s="209"/>
      <c r="I409" s="193" t="s">
        <v>9</v>
      </c>
      <c r="J409" s="282">
        <f>2561*(100%+20%)</f>
        <v>3073.2</v>
      </c>
    </row>
    <row r="410" spans="1:10" ht="15">
      <c r="A410" s="418" t="s">
        <v>1952</v>
      </c>
      <c r="B410" s="419"/>
      <c r="C410" s="419"/>
      <c r="D410" s="419"/>
      <c r="E410" s="419"/>
      <c r="F410" s="420"/>
      <c r="G410" s="208"/>
      <c r="H410" s="209"/>
      <c r="I410" s="193" t="s">
        <v>9</v>
      </c>
      <c r="J410" s="282">
        <f>2768*(100%+20%)</f>
        <v>3321.6</v>
      </c>
    </row>
    <row r="411" spans="1:10" ht="15">
      <c r="A411" s="418" t="s">
        <v>1953</v>
      </c>
      <c r="B411" s="419"/>
      <c r="C411" s="419"/>
      <c r="D411" s="419"/>
      <c r="E411" s="419"/>
      <c r="F411" s="420"/>
      <c r="G411" s="208"/>
      <c r="H411" s="209"/>
      <c r="I411" s="193" t="s">
        <v>9</v>
      </c>
      <c r="J411" s="282">
        <f>2530*(100%+20%)</f>
        <v>3036</v>
      </c>
    </row>
    <row r="412" spans="1:10" ht="15">
      <c r="A412" s="418" t="s">
        <v>1954</v>
      </c>
      <c r="B412" s="419"/>
      <c r="C412" s="419"/>
      <c r="D412" s="419"/>
      <c r="E412" s="419"/>
      <c r="F412" s="420"/>
      <c r="G412" s="208"/>
      <c r="H412" s="209"/>
      <c r="I412" s="193" t="s">
        <v>9</v>
      </c>
      <c r="J412" s="282">
        <f>2801*(100%+20%)</f>
        <v>3361.2</v>
      </c>
    </row>
    <row r="413" spans="1:10" ht="15">
      <c r="A413" s="418" t="s">
        <v>1955</v>
      </c>
      <c r="B413" s="419"/>
      <c r="C413" s="419"/>
      <c r="D413" s="419"/>
      <c r="E413" s="419"/>
      <c r="F413" s="420"/>
      <c r="G413" s="208"/>
      <c r="H413" s="209"/>
      <c r="I413" s="193" t="s">
        <v>9</v>
      </c>
      <c r="J413" s="282">
        <f>2355*(100%+20%)</f>
        <v>2826</v>
      </c>
    </row>
    <row r="414" spans="1:10" ht="15">
      <c r="A414" s="418" t="s">
        <v>1956</v>
      </c>
      <c r="B414" s="419"/>
      <c r="C414" s="419"/>
      <c r="D414" s="419"/>
      <c r="E414" s="419"/>
      <c r="F414" s="420"/>
      <c r="G414" s="208"/>
      <c r="H414" s="209"/>
      <c r="I414" s="193" t="s">
        <v>9</v>
      </c>
      <c r="J414" s="282">
        <f>2522*(100%+20%)</f>
        <v>3026.4</v>
      </c>
    </row>
    <row r="415" spans="1:10" ht="15">
      <c r="A415" s="418" t="s">
        <v>1957</v>
      </c>
      <c r="B415" s="419"/>
      <c r="C415" s="419"/>
      <c r="D415" s="419"/>
      <c r="E415" s="419"/>
      <c r="F415" s="420"/>
      <c r="G415" s="208"/>
      <c r="H415" s="209"/>
      <c r="I415" s="193" t="s">
        <v>9</v>
      </c>
      <c r="J415" s="282">
        <f>2780*(100%+20%)</f>
        <v>3336</v>
      </c>
    </row>
    <row r="416" spans="1:10" ht="15">
      <c r="A416" s="418" t="s">
        <v>1958</v>
      </c>
      <c r="B416" s="419"/>
      <c r="C416" s="419"/>
      <c r="D416" s="419"/>
      <c r="E416" s="419"/>
      <c r="F416" s="420"/>
      <c r="G416" s="208"/>
      <c r="H416" s="209"/>
      <c r="I416" s="193" t="s">
        <v>9</v>
      </c>
      <c r="J416" s="282">
        <f>3117*(100%+20%)</f>
        <v>3740.3999999999996</v>
      </c>
    </row>
    <row r="417" spans="1:10" ht="15">
      <c r="A417" s="418" t="s">
        <v>1959</v>
      </c>
      <c r="B417" s="419"/>
      <c r="C417" s="419"/>
      <c r="D417" s="419"/>
      <c r="E417" s="419"/>
      <c r="F417" s="420"/>
      <c r="G417" s="208"/>
      <c r="H417" s="209"/>
      <c r="I417" s="193" t="s">
        <v>9</v>
      </c>
      <c r="J417" s="282">
        <f>2561*(100%+20%)</f>
        <v>3073.2</v>
      </c>
    </row>
    <row r="418" spans="1:10" ht="15">
      <c r="A418" s="418" t="s">
        <v>1960</v>
      </c>
      <c r="B418" s="419"/>
      <c r="C418" s="419"/>
      <c r="D418" s="419"/>
      <c r="E418" s="419"/>
      <c r="F418" s="420"/>
      <c r="G418" s="208"/>
      <c r="H418" s="209"/>
      <c r="I418" s="193" t="s">
        <v>9</v>
      </c>
      <c r="J418" s="282">
        <f>2768*(100%+20%)</f>
        <v>3321.6</v>
      </c>
    </row>
    <row r="419" spans="1:10" ht="15">
      <c r="A419" s="418" t="s">
        <v>1961</v>
      </c>
      <c r="B419" s="419"/>
      <c r="C419" s="419"/>
      <c r="D419" s="419"/>
      <c r="E419" s="419"/>
      <c r="F419" s="420"/>
      <c r="G419" s="208"/>
      <c r="H419" s="209"/>
      <c r="I419" s="193" t="s">
        <v>9</v>
      </c>
      <c r="J419" s="282">
        <f>2530*(100%+20%)</f>
        <v>3036</v>
      </c>
    </row>
    <row r="420" spans="1:10" ht="15">
      <c r="A420" s="418" t="s">
        <v>1962</v>
      </c>
      <c r="B420" s="419"/>
      <c r="C420" s="419"/>
      <c r="D420" s="419"/>
      <c r="E420" s="419"/>
      <c r="F420" s="420"/>
      <c r="G420" s="208"/>
      <c r="H420" s="209"/>
      <c r="I420" s="193" t="s">
        <v>9</v>
      </c>
      <c r="J420" s="282">
        <f>2801*(100%+20%)</f>
        <v>3361.2</v>
      </c>
    </row>
    <row r="421" spans="1:10" ht="15">
      <c r="A421" s="418" t="s">
        <v>1963</v>
      </c>
      <c r="B421" s="419"/>
      <c r="C421" s="419"/>
      <c r="D421" s="419"/>
      <c r="E421" s="419"/>
      <c r="F421" s="420"/>
      <c r="G421" s="208"/>
      <c r="H421" s="209"/>
      <c r="I421" s="193" t="s">
        <v>9</v>
      </c>
      <c r="J421" s="282">
        <f>2355*(100%+20%)</f>
        <v>2826</v>
      </c>
    </row>
    <row r="422" spans="1:10" ht="15">
      <c r="A422" s="418" t="s">
        <v>1964</v>
      </c>
      <c r="B422" s="419"/>
      <c r="C422" s="419"/>
      <c r="D422" s="419"/>
      <c r="E422" s="419"/>
      <c r="F422" s="420"/>
      <c r="G422" s="208"/>
      <c r="H422" s="209"/>
      <c r="I422" s="193" t="s">
        <v>9</v>
      </c>
      <c r="J422" s="282">
        <f>2522*(100%+20%)</f>
        <v>3026.4</v>
      </c>
    </row>
    <row r="423" spans="1:10" ht="15">
      <c r="A423" s="418" t="s">
        <v>1965</v>
      </c>
      <c r="B423" s="419"/>
      <c r="C423" s="419"/>
      <c r="D423" s="419"/>
      <c r="E423" s="419"/>
      <c r="F423" s="420"/>
      <c r="G423" s="208"/>
      <c r="H423" s="209"/>
      <c r="I423" s="193" t="s">
        <v>9</v>
      </c>
      <c r="J423" s="282">
        <f>1905*(100%+20%)</f>
        <v>2286</v>
      </c>
    </row>
    <row r="424" spans="1:10" ht="15">
      <c r="A424" s="418" t="s">
        <v>1966</v>
      </c>
      <c r="B424" s="419"/>
      <c r="C424" s="419"/>
      <c r="D424" s="419"/>
      <c r="E424" s="419"/>
      <c r="F424" s="420"/>
      <c r="G424" s="208"/>
      <c r="H424" s="209"/>
      <c r="I424" s="193" t="s">
        <v>9</v>
      </c>
      <c r="J424" s="282">
        <f>2242*(100%+20%)</f>
        <v>2690.4</v>
      </c>
    </row>
    <row r="425" spans="1:10" ht="15">
      <c r="A425" s="418" t="s">
        <v>1967</v>
      </c>
      <c r="B425" s="419"/>
      <c r="C425" s="419"/>
      <c r="D425" s="419"/>
      <c r="E425" s="419"/>
      <c r="F425" s="420"/>
      <c r="G425" s="208"/>
      <c r="H425" s="209"/>
      <c r="I425" s="193" t="s">
        <v>9</v>
      </c>
      <c r="J425" s="282">
        <f>1686*(100%+20%)</f>
        <v>2023.1999999999998</v>
      </c>
    </row>
    <row r="426" spans="1:10" ht="15">
      <c r="A426" s="418" t="s">
        <v>1968</v>
      </c>
      <c r="B426" s="419"/>
      <c r="C426" s="419"/>
      <c r="D426" s="419"/>
      <c r="E426" s="419"/>
      <c r="F426" s="420"/>
      <c r="G426" s="208"/>
      <c r="H426" s="209"/>
      <c r="I426" s="193" t="s">
        <v>9</v>
      </c>
      <c r="J426" s="282">
        <f>1892*(100%+20%)</f>
        <v>2270.4</v>
      </c>
    </row>
    <row r="427" spans="1:10" ht="15">
      <c r="A427" s="418" t="s">
        <v>1969</v>
      </c>
      <c r="B427" s="419"/>
      <c r="C427" s="419"/>
      <c r="D427" s="419"/>
      <c r="E427" s="419"/>
      <c r="F427" s="420"/>
      <c r="G427" s="208"/>
      <c r="H427" s="209"/>
      <c r="I427" s="193" t="s">
        <v>9</v>
      </c>
      <c r="J427" s="282">
        <f>1611*(100%+20%)</f>
        <v>1933.1999999999998</v>
      </c>
    </row>
    <row r="428" spans="1:10" ht="15">
      <c r="A428" s="418" t="s">
        <v>1970</v>
      </c>
      <c r="B428" s="419"/>
      <c r="C428" s="419"/>
      <c r="D428" s="419"/>
      <c r="E428" s="419"/>
      <c r="F428" s="420"/>
      <c r="G428" s="208"/>
      <c r="H428" s="209"/>
      <c r="I428" s="193" t="s">
        <v>9</v>
      </c>
      <c r="J428" s="282">
        <f>1882*(100%+20%)</f>
        <v>2258.4</v>
      </c>
    </row>
    <row r="429" spans="1:10" ht="15">
      <c r="A429" s="418" t="s">
        <v>1971</v>
      </c>
      <c r="B429" s="419"/>
      <c r="C429" s="419"/>
      <c r="D429" s="419"/>
      <c r="E429" s="419"/>
      <c r="F429" s="420"/>
      <c r="G429" s="208"/>
      <c r="H429" s="209"/>
      <c r="I429" s="193" t="s">
        <v>9</v>
      </c>
      <c r="J429" s="282">
        <f>1434*(100%+20%)</f>
        <v>1720.8</v>
      </c>
    </row>
    <row r="430" spans="1:10" ht="15">
      <c r="A430" s="418" t="s">
        <v>1972</v>
      </c>
      <c r="B430" s="419"/>
      <c r="C430" s="419"/>
      <c r="D430" s="419"/>
      <c r="E430" s="419"/>
      <c r="F430" s="420"/>
      <c r="G430" s="208"/>
      <c r="H430" s="209"/>
      <c r="I430" s="193" t="s">
        <v>9</v>
      </c>
      <c r="J430" s="282">
        <f>1603*(100%+20%)</f>
        <v>1923.6</v>
      </c>
    </row>
    <row r="431" spans="1:10" ht="15">
      <c r="A431" s="418" t="s">
        <v>1973</v>
      </c>
      <c r="B431" s="419"/>
      <c r="C431" s="419"/>
      <c r="D431" s="419"/>
      <c r="E431" s="419"/>
      <c r="F431" s="420"/>
      <c r="G431" s="208"/>
      <c r="H431" s="209"/>
      <c r="I431" s="193" t="s">
        <v>9</v>
      </c>
      <c r="J431" s="282">
        <f>597*(100%+20%)</f>
        <v>716.4</v>
      </c>
    </row>
    <row r="432" spans="1:10" ht="15">
      <c r="A432" s="418" t="s">
        <v>1974</v>
      </c>
      <c r="B432" s="419"/>
      <c r="C432" s="419"/>
      <c r="D432" s="419"/>
      <c r="E432" s="419"/>
      <c r="F432" s="420"/>
      <c r="G432" s="208"/>
      <c r="H432" s="209"/>
      <c r="I432" s="193" t="s">
        <v>9</v>
      </c>
      <c r="J432" s="282">
        <f>680*(100%+20%)</f>
        <v>816</v>
      </c>
    </row>
    <row r="433" spans="1:10" ht="15">
      <c r="A433" s="418" t="s">
        <v>1975</v>
      </c>
      <c r="B433" s="419"/>
      <c r="C433" s="419"/>
      <c r="D433" s="419"/>
      <c r="E433" s="419"/>
      <c r="F433" s="420"/>
      <c r="G433" s="208"/>
      <c r="H433" s="209"/>
      <c r="I433" s="193" t="s">
        <v>9</v>
      </c>
      <c r="J433" s="282">
        <f>544*(100%+20%)</f>
        <v>652.8</v>
      </c>
    </row>
    <row r="434" spans="1:10" ht="15">
      <c r="A434" s="418" t="s">
        <v>1976</v>
      </c>
      <c r="B434" s="419"/>
      <c r="C434" s="419"/>
      <c r="D434" s="419"/>
      <c r="E434" s="419"/>
      <c r="F434" s="420"/>
      <c r="G434" s="208"/>
      <c r="H434" s="209"/>
      <c r="I434" s="193" t="s">
        <v>9</v>
      </c>
      <c r="J434" s="282">
        <f>595*(100%+20%)</f>
        <v>714</v>
      </c>
    </row>
    <row r="435" spans="1:10" ht="15">
      <c r="A435" s="418" t="s">
        <v>1977</v>
      </c>
      <c r="B435" s="419"/>
      <c r="C435" s="419"/>
      <c r="D435" s="419"/>
      <c r="E435" s="419"/>
      <c r="F435" s="420"/>
      <c r="G435" s="208"/>
      <c r="H435" s="209"/>
      <c r="I435" s="193" t="s">
        <v>9</v>
      </c>
      <c r="J435" s="282">
        <f>2823*(100%+20%)</f>
        <v>3387.6</v>
      </c>
    </row>
    <row r="436" spans="1:10" ht="15">
      <c r="A436" s="418" t="s">
        <v>1978</v>
      </c>
      <c r="B436" s="419"/>
      <c r="C436" s="419"/>
      <c r="D436" s="419"/>
      <c r="E436" s="419"/>
      <c r="F436" s="420"/>
      <c r="G436" s="208"/>
      <c r="H436" s="209"/>
      <c r="I436" s="193" t="s">
        <v>9</v>
      </c>
      <c r="J436" s="282">
        <f>3161*(100%+20%)</f>
        <v>3793.2</v>
      </c>
    </row>
    <row r="437" spans="1:10" ht="15">
      <c r="A437" s="418" t="s">
        <v>1979</v>
      </c>
      <c r="B437" s="419"/>
      <c r="C437" s="419"/>
      <c r="D437" s="419"/>
      <c r="E437" s="419"/>
      <c r="F437" s="420"/>
      <c r="G437" s="208"/>
      <c r="H437" s="209"/>
      <c r="I437" s="193" t="s">
        <v>9</v>
      </c>
      <c r="J437" s="282">
        <f>2606*(100%+20%)</f>
        <v>3127.2</v>
      </c>
    </row>
    <row r="438" spans="1:10" ht="15">
      <c r="A438" s="418" t="s">
        <v>1980</v>
      </c>
      <c r="B438" s="419"/>
      <c r="C438" s="419"/>
      <c r="D438" s="419"/>
      <c r="E438" s="419"/>
      <c r="F438" s="420"/>
      <c r="G438" s="208"/>
      <c r="H438" s="209"/>
      <c r="I438" s="193" t="s">
        <v>9</v>
      </c>
      <c r="J438" s="282">
        <f>2812*(100%+20%)</f>
        <v>3374.4</v>
      </c>
    </row>
    <row r="439" spans="1:10" ht="15">
      <c r="A439" s="418" t="s">
        <v>1981</v>
      </c>
      <c r="B439" s="419"/>
      <c r="C439" s="419"/>
      <c r="D439" s="419"/>
      <c r="E439" s="419"/>
      <c r="F439" s="420"/>
      <c r="G439" s="208"/>
      <c r="H439" s="209"/>
      <c r="I439" s="193" t="s">
        <v>9</v>
      </c>
      <c r="J439" s="282">
        <f>2530*(100%+20%)</f>
        <v>3036</v>
      </c>
    </row>
    <row r="440" spans="1:10" ht="15">
      <c r="A440" s="418" t="s">
        <v>1982</v>
      </c>
      <c r="B440" s="419"/>
      <c r="C440" s="419"/>
      <c r="D440" s="419"/>
      <c r="E440" s="419"/>
      <c r="F440" s="420"/>
      <c r="G440" s="208"/>
      <c r="H440" s="209"/>
      <c r="I440" s="193" t="s">
        <v>9</v>
      </c>
      <c r="J440" s="282">
        <f>2801*(100%+20%)</f>
        <v>3361.2</v>
      </c>
    </row>
    <row r="441" spans="1:10" ht="15">
      <c r="A441" s="418" t="s">
        <v>1983</v>
      </c>
      <c r="B441" s="419"/>
      <c r="C441" s="419"/>
      <c r="D441" s="419"/>
      <c r="E441" s="419"/>
      <c r="F441" s="420"/>
      <c r="G441" s="208"/>
      <c r="H441" s="209"/>
      <c r="I441" s="193" t="s">
        <v>9</v>
      </c>
      <c r="J441" s="282">
        <f>2355*(100%+20%)</f>
        <v>2826</v>
      </c>
    </row>
    <row r="442" spans="1:10" ht="15">
      <c r="A442" s="418" t="s">
        <v>1984</v>
      </c>
      <c r="B442" s="419"/>
      <c r="C442" s="419"/>
      <c r="D442" s="419"/>
      <c r="E442" s="419"/>
      <c r="F442" s="420"/>
      <c r="G442" s="208"/>
      <c r="H442" s="209"/>
      <c r="I442" s="193" t="s">
        <v>9</v>
      </c>
      <c r="J442" s="282">
        <f>2522*(100%+20%)</f>
        <v>3026.4</v>
      </c>
    </row>
    <row r="443" spans="1:10" ht="15">
      <c r="A443" s="418" t="s">
        <v>1985</v>
      </c>
      <c r="B443" s="419"/>
      <c r="C443" s="419"/>
      <c r="D443" s="419"/>
      <c r="E443" s="419"/>
      <c r="F443" s="420"/>
      <c r="G443" s="208"/>
      <c r="H443" s="209"/>
      <c r="I443" s="193" t="s">
        <v>9</v>
      </c>
      <c r="J443" s="282">
        <f>2823*(100%+20%)</f>
        <v>3387.6</v>
      </c>
    </row>
    <row r="444" spans="1:10" ht="15">
      <c r="A444" s="418" t="s">
        <v>1986</v>
      </c>
      <c r="B444" s="419"/>
      <c r="C444" s="419"/>
      <c r="D444" s="419"/>
      <c r="E444" s="419"/>
      <c r="F444" s="420"/>
      <c r="G444" s="208"/>
      <c r="H444" s="209"/>
      <c r="I444" s="193" t="s">
        <v>9</v>
      </c>
      <c r="J444" s="282">
        <f>3161*(100%+20%)</f>
        <v>3793.2</v>
      </c>
    </row>
    <row r="445" spans="1:10" ht="15">
      <c r="A445" s="418" t="s">
        <v>1987</v>
      </c>
      <c r="B445" s="419"/>
      <c r="C445" s="419"/>
      <c r="D445" s="419"/>
      <c r="E445" s="419"/>
      <c r="F445" s="420"/>
      <c r="G445" s="208"/>
      <c r="H445" s="209"/>
      <c r="I445" s="193" t="s">
        <v>9</v>
      </c>
      <c r="J445" s="282">
        <f>2606*(100%+20%)</f>
        <v>3127.2</v>
      </c>
    </row>
    <row r="446" spans="1:10" ht="15">
      <c r="A446" s="418" t="s">
        <v>1988</v>
      </c>
      <c r="B446" s="419"/>
      <c r="C446" s="419"/>
      <c r="D446" s="419"/>
      <c r="E446" s="419"/>
      <c r="F446" s="420"/>
      <c r="G446" s="208"/>
      <c r="H446" s="209"/>
      <c r="I446" s="193" t="s">
        <v>9</v>
      </c>
      <c r="J446" s="282">
        <f>2812*(100%+20%)</f>
        <v>3374.4</v>
      </c>
    </row>
    <row r="447" spans="1:10" ht="15">
      <c r="A447" s="418" t="s">
        <v>1989</v>
      </c>
      <c r="B447" s="419"/>
      <c r="C447" s="419"/>
      <c r="D447" s="419"/>
      <c r="E447" s="419"/>
      <c r="F447" s="420"/>
      <c r="G447" s="208"/>
      <c r="H447" s="209"/>
      <c r="I447" s="193" t="s">
        <v>9</v>
      </c>
      <c r="J447" s="282">
        <f>2530*(100%+20%)</f>
        <v>3036</v>
      </c>
    </row>
    <row r="448" spans="1:10" ht="15">
      <c r="A448" s="418" t="s">
        <v>1990</v>
      </c>
      <c r="B448" s="419"/>
      <c r="C448" s="419"/>
      <c r="D448" s="419"/>
      <c r="E448" s="419"/>
      <c r="F448" s="420"/>
      <c r="G448" s="208"/>
      <c r="H448" s="209"/>
      <c r="I448" s="193" t="s">
        <v>9</v>
      </c>
      <c r="J448" s="282">
        <f>2801*(100%+20%)</f>
        <v>3361.2</v>
      </c>
    </row>
    <row r="449" spans="1:10" ht="15">
      <c r="A449" s="418" t="s">
        <v>1991</v>
      </c>
      <c r="B449" s="419"/>
      <c r="C449" s="419"/>
      <c r="D449" s="419"/>
      <c r="E449" s="419"/>
      <c r="F449" s="420"/>
      <c r="G449" s="208"/>
      <c r="H449" s="209"/>
      <c r="I449" s="193" t="s">
        <v>9</v>
      </c>
      <c r="J449" s="282">
        <f>2355*(100%+20%)</f>
        <v>2826</v>
      </c>
    </row>
    <row r="450" spans="1:10" ht="15">
      <c r="A450" s="418" t="s">
        <v>1992</v>
      </c>
      <c r="B450" s="419"/>
      <c r="C450" s="419"/>
      <c r="D450" s="419"/>
      <c r="E450" s="419"/>
      <c r="F450" s="420"/>
      <c r="G450" s="208"/>
      <c r="H450" s="209"/>
      <c r="I450" s="193" t="s">
        <v>9</v>
      </c>
      <c r="J450" s="282">
        <f>2522*(100%+20%)</f>
        <v>3026.4</v>
      </c>
    </row>
    <row r="451" spans="1:10" ht="15">
      <c r="A451" s="418" t="s">
        <v>1993</v>
      </c>
      <c r="B451" s="419"/>
      <c r="C451" s="419"/>
      <c r="D451" s="419"/>
      <c r="E451" s="419"/>
      <c r="F451" s="420"/>
      <c r="G451" s="208"/>
      <c r="H451" s="209"/>
      <c r="I451" s="193" t="s">
        <v>9</v>
      </c>
      <c r="J451" s="282">
        <f>1562*(100%+20%)</f>
        <v>1874.3999999999999</v>
      </c>
    </row>
    <row r="452" spans="1:10" ht="15">
      <c r="A452" s="418" t="s">
        <v>1994</v>
      </c>
      <c r="B452" s="419"/>
      <c r="C452" s="419"/>
      <c r="D452" s="419"/>
      <c r="E452" s="419"/>
      <c r="F452" s="420"/>
      <c r="G452" s="208"/>
      <c r="H452" s="209"/>
      <c r="I452" s="193" t="s">
        <v>9</v>
      </c>
      <c r="J452" s="282">
        <f>1902*(100%+20%)</f>
        <v>2282.4</v>
      </c>
    </row>
    <row r="453" spans="1:10" ht="15">
      <c r="A453" s="418" t="s">
        <v>1995</v>
      </c>
      <c r="B453" s="419"/>
      <c r="C453" s="419"/>
      <c r="D453" s="419"/>
      <c r="E453" s="419"/>
      <c r="F453" s="420"/>
      <c r="G453" s="208"/>
      <c r="H453" s="209"/>
      <c r="I453" s="193" t="s">
        <v>9</v>
      </c>
      <c r="J453" s="282">
        <f>1346*(100%+20%)</f>
        <v>1615.2</v>
      </c>
    </row>
    <row r="454" spans="1:10" ht="15">
      <c r="A454" s="418" t="s">
        <v>1996</v>
      </c>
      <c r="B454" s="419"/>
      <c r="C454" s="419"/>
      <c r="D454" s="419"/>
      <c r="E454" s="419"/>
      <c r="F454" s="420"/>
      <c r="G454" s="208"/>
      <c r="H454" s="209"/>
      <c r="I454" s="193" t="s">
        <v>9</v>
      </c>
      <c r="J454" s="282">
        <f>1556*(100%+20%)</f>
        <v>1867.1999999999998</v>
      </c>
    </row>
    <row r="455" spans="1:10" ht="15">
      <c r="A455" s="418" t="s">
        <v>1997</v>
      </c>
      <c r="B455" s="419"/>
      <c r="C455" s="419"/>
      <c r="D455" s="419"/>
      <c r="E455" s="419"/>
      <c r="F455" s="420"/>
      <c r="G455" s="208"/>
      <c r="H455" s="209"/>
      <c r="I455" s="193" t="s">
        <v>9</v>
      </c>
      <c r="J455" s="282">
        <f>1271*(100%+20%)</f>
        <v>1525.2</v>
      </c>
    </row>
    <row r="456" spans="1:10" ht="15">
      <c r="A456" s="418" t="s">
        <v>1998</v>
      </c>
      <c r="B456" s="419"/>
      <c r="C456" s="419"/>
      <c r="D456" s="419"/>
      <c r="E456" s="419"/>
      <c r="F456" s="420"/>
      <c r="G456" s="208"/>
      <c r="H456" s="209"/>
      <c r="I456" s="193" t="s">
        <v>9</v>
      </c>
      <c r="J456" s="282">
        <f>1540*(100%+20%)</f>
        <v>1848</v>
      </c>
    </row>
    <row r="457" spans="1:10" ht="15">
      <c r="A457" s="418" t="s">
        <v>1999</v>
      </c>
      <c r="B457" s="419"/>
      <c r="C457" s="419"/>
      <c r="D457" s="419"/>
      <c r="E457" s="419"/>
      <c r="F457" s="420"/>
      <c r="G457" s="208"/>
      <c r="H457" s="209"/>
      <c r="I457" s="193" t="s">
        <v>9</v>
      </c>
      <c r="J457" s="282">
        <f>1095*(100%+20%)</f>
        <v>1314</v>
      </c>
    </row>
    <row r="458" spans="1:10" ht="15">
      <c r="A458" s="418" t="s">
        <v>2000</v>
      </c>
      <c r="B458" s="419"/>
      <c r="C458" s="419"/>
      <c r="D458" s="419"/>
      <c r="E458" s="419"/>
      <c r="F458" s="420"/>
      <c r="G458" s="208"/>
      <c r="H458" s="209"/>
      <c r="I458" s="193" t="s">
        <v>9</v>
      </c>
      <c r="J458" s="282">
        <f>1261*(100%+20%)</f>
        <v>1513.2</v>
      </c>
    </row>
    <row r="459" spans="1:10" ht="15">
      <c r="A459" s="418" t="s">
        <v>2001</v>
      </c>
      <c r="B459" s="419"/>
      <c r="C459" s="419"/>
      <c r="D459" s="419"/>
      <c r="E459" s="419"/>
      <c r="F459" s="420"/>
      <c r="G459" s="208"/>
      <c r="H459" s="209"/>
      <c r="I459" s="193" t="s">
        <v>9</v>
      </c>
      <c r="J459" s="282">
        <f>859*(100%+20%)</f>
        <v>1030.8</v>
      </c>
    </row>
    <row r="460" spans="1:10" ht="15">
      <c r="A460" s="418" t="s">
        <v>2002</v>
      </c>
      <c r="B460" s="419"/>
      <c r="C460" s="419"/>
      <c r="D460" s="419"/>
      <c r="E460" s="419"/>
      <c r="F460" s="420"/>
      <c r="G460" s="208"/>
      <c r="H460" s="209"/>
      <c r="I460" s="193" t="s">
        <v>9</v>
      </c>
      <c r="J460" s="282">
        <f>925*(100%+20%)</f>
        <v>1110</v>
      </c>
    </row>
    <row r="461" spans="1:10" ht="15">
      <c r="A461" s="418" t="s">
        <v>2003</v>
      </c>
      <c r="B461" s="419"/>
      <c r="C461" s="419"/>
      <c r="D461" s="419"/>
      <c r="E461" s="419"/>
      <c r="F461" s="420"/>
      <c r="G461" s="208"/>
      <c r="H461" s="209"/>
      <c r="I461" s="193" t="s">
        <v>9</v>
      </c>
      <c r="J461" s="282">
        <f>814*(100%+20%)</f>
        <v>976.8</v>
      </c>
    </row>
    <row r="462" spans="1:10" ht="15">
      <c r="A462" s="418" t="s">
        <v>2004</v>
      </c>
      <c r="B462" s="419"/>
      <c r="C462" s="419"/>
      <c r="D462" s="419"/>
      <c r="E462" s="419"/>
      <c r="F462" s="420"/>
      <c r="G462" s="208"/>
      <c r="H462" s="209"/>
      <c r="I462" s="193" t="s">
        <v>9</v>
      </c>
      <c r="J462" s="282">
        <f>857*(100%+20%)</f>
        <v>1028.3999999999999</v>
      </c>
    </row>
    <row r="463" spans="1:10" ht="15">
      <c r="A463" s="418" t="s">
        <v>2005</v>
      </c>
      <c r="B463" s="419"/>
      <c r="C463" s="419"/>
      <c r="D463" s="419"/>
      <c r="E463" s="419"/>
      <c r="F463" s="420"/>
      <c r="G463" s="208"/>
      <c r="H463" s="209"/>
      <c r="I463" s="193" t="s">
        <v>9</v>
      </c>
      <c r="J463" s="282">
        <f>2063*(100%+20%)</f>
        <v>2475.6</v>
      </c>
    </row>
    <row r="464" spans="1:10" ht="15">
      <c r="A464" s="418" t="s">
        <v>2006</v>
      </c>
      <c r="B464" s="419"/>
      <c r="C464" s="419"/>
      <c r="D464" s="419"/>
      <c r="E464" s="419"/>
      <c r="F464" s="420"/>
      <c r="G464" s="208"/>
      <c r="H464" s="209"/>
      <c r="I464" s="193" t="s">
        <v>9</v>
      </c>
      <c r="J464" s="282">
        <f>2333*(100%+20%)</f>
        <v>2799.6</v>
      </c>
    </row>
    <row r="465" spans="1:10" ht="15">
      <c r="A465" s="418" t="s">
        <v>2007</v>
      </c>
      <c r="B465" s="419"/>
      <c r="C465" s="419"/>
      <c r="D465" s="419"/>
      <c r="E465" s="419"/>
      <c r="F465" s="420"/>
      <c r="G465" s="208"/>
      <c r="H465" s="209"/>
      <c r="I465" s="193" t="s">
        <v>9</v>
      </c>
      <c r="J465" s="282">
        <f>1888*(100%+20%)</f>
        <v>2265.6</v>
      </c>
    </row>
    <row r="466" spans="1:10" ht="15">
      <c r="A466" s="418" t="s">
        <v>2008</v>
      </c>
      <c r="B466" s="419"/>
      <c r="C466" s="419"/>
      <c r="D466" s="419"/>
      <c r="E466" s="419"/>
      <c r="F466" s="420"/>
      <c r="G466" s="208"/>
      <c r="H466" s="209"/>
      <c r="I466" s="193" t="s">
        <v>9</v>
      </c>
      <c r="J466" s="282">
        <f>2054*(100%+20%)</f>
        <v>2464.7999999999997</v>
      </c>
    </row>
    <row r="467" spans="1:10" ht="15">
      <c r="A467" s="418" t="s">
        <v>2009</v>
      </c>
      <c r="B467" s="419"/>
      <c r="C467" s="419"/>
      <c r="D467" s="419"/>
      <c r="E467" s="419"/>
      <c r="F467" s="420"/>
      <c r="G467" s="208"/>
      <c r="H467" s="209"/>
      <c r="I467" s="193" t="s">
        <v>9</v>
      </c>
      <c r="J467" s="282">
        <f>2063*(100%+20%)</f>
        <v>2475.6</v>
      </c>
    </row>
    <row r="468" spans="1:10" ht="15">
      <c r="A468" s="418" t="s">
        <v>2010</v>
      </c>
      <c r="B468" s="419"/>
      <c r="C468" s="419"/>
      <c r="D468" s="419"/>
      <c r="E468" s="419"/>
      <c r="F468" s="420"/>
      <c r="G468" s="208"/>
      <c r="H468" s="209"/>
      <c r="I468" s="193" t="s">
        <v>9</v>
      </c>
      <c r="J468" s="282">
        <f>2333*(100%+20%)</f>
        <v>2799.6</v>
      </c>
    </row>
    <row r="469" spans="1:10" ht="15">
      <c r="A469" s="418" t="s">
        <v>2011</v>
      </c>
      <c r="B469" s="419"/>
      <c r="C469" s="419"/>
      <c r="D469" s="419"/>
      <c r="E469" s="419"/>
      <c r="F469" s="420"/>
      <c r="G469" s="208"/>
      <c r="H469" s="209"/>
      <c r="I469" s="193" t="s">
        <v>9</v>
      </c>
      <c r="J469" s="282">
        <f>1888*(100%+20%)</f>
        <v>2265.6</v>
      </c>
    </row>
    <row r="470" spans="1:10" ht="15">
      <c r="A470" s="418" t="s">
        <v>2012</v>
      </c>
      <c r="B470" s="419"/>
      <c r="C470" s="419"/>
      <c r="D470" s="419"/>
      <c r="E470" s="419"/>
      <c r="F470" s="420"/>
      <c r="G470" s="208"/>
      <c r="H470" s="209"/>
      <c r="I470" s="193" t="s">
        <v>9</v>
      </c>
      <c r="J470" s="282">
        <f>2054*(100%+20%)</f>
        <v>2464.7999999999997</v>
      </c>
    </row>
    <row r="471" spans="1:10" ht="15">
      <c r="A471" s="418" t="s">
        <v>2013</v>
      </c>
      <c r="B471" s="419"/>
      <c r="C471" s="419"/>
      <c r="D471" s="419"/>
      <c r="E471" s="419"/>
      <c r="F471" s="420"/>
      <c r="G471" s="208"/>
      <c r="H471" s="209"/>
      <c r="I471" s="193" t="s">
        <v>9</v>
      </c>
      <c r="J471" s="282">
        <f>2635*(100%+20%)</f>
        <v>3162</v>
      </c>
    </row>
    <row r="472" spans="1:10" ht="15">
      <c r="A472" s="418" t="s">
        <v>2014</v>
      </c>
      <c r="B472" s="419"/>
      <c r="C472" s="419"/>
      <c r="D472" s="419"/>
      <c r="E472" s="419"/>
      <c r="F472" s="420"/>
      <c r="G472" s="208"/>
      <c r="H472" s="209"/>
      <c r="I472" s="193" t="s">
        <v>9</v>
      </c>
      <c r="J472" s="282">
        <f>2973*(100%+20%)</f>
        <v>3567.6</v>
      </c>
    </row>
    <row r="473" spans="1:10" ht="15">
      <c r="A473" s="418" t="s">
        <v>2015</v>
      </c>
      <c r="B473" s="419"/>
      <c r="C473" s="419"/>
      <c r="D473" s="419"/>
      <c r="E473" s="419"/>
      <c r="F473" s="420"/>
      <c r="G473" s="208"/>
      <c r="H473" s="209"/>
      <c r="I473" s="193" t="s">
        <v>9</v>
      </c>
      <c r="J473" s="282">
        <f>2474*(100%+20%)</f>
        <v>2968.7999999999997</v>
      </c>
    </row>
    <row r="474" spans="1:10" ht="15">
      <c r="A474" s="418" t="s">
        <v>2016</v>
      </c>
      <c r="B474" s="419"/>
      <c r="C474" s="419"/>
      <c r="D474" s="419"/>
      <c r="E474" s="419"/>
      <c r="F474" s="420"/>
      <c r="G474" s="208"/>
      <c r="H474" s="209"/>
      <c r="I474" s="193" t="s">
        <v>9</v>
      </c>
      <c r="J474" s="282">
        <f>2098*(100%+20%)</f>
        <v>2517.6</v>
      </c>
    </row>
    <row r="475" spans="1:10" ht="15">
      <c r="A475" s="418" t="s">
        <v>2017</v>
      </c>
      <c r="B475" s="419"/>
      <c r="C475" s="419"/>
      <c r="D475" s="419"/>
      <c r="E475" s="419"/>
      <c r="F475" s="420"/>
      <c r="G475" s="208"/>
      <c r="H475" s="209"/>
      <c r="I475" s="193" t="s">
        <v>9</v>
      </c>
      <c r="J475" s="282">
        <f>2342*(100%+20%)</f>
        <v>2810.4</v>
      </c>
    </row>
    <row r="476" spans="1:10" ht="15">
      <c r="A476" s="418" t="s">
        <v>2018</v>
      </c>
      <c r="B476" s="419"/>
      <c r="C476" s="419"/>
      <c r="D476" s="419"/>
      <c r="E476" s="419"/>
      <c r="F476" s="420"/>
      <c r="G476" s="208"/>
      <c r="H476" s="209"/>
      <c r="I476" s="193" t="s">
        <v>9</v>
      </c>
      <c r="J476" s="282">
        <f>2613*(100%+20%)</f>
        <v>3135.6</v>
      </c>
    </row>
    <row r="477" spans="1:10" ht="15">
      <c r="A477" s="418" t="s">
        <v>2019</v>
      </c>
      <c r="B477" s="419"/>
      <c r="C477" s="419"/>
      <c r="D477" s="419"/>
      <c r="E477" s="419"/>
      <c r="F477" s="420"/>
      <c r="G477" s="208"/>
      <c r="H477" s="209"/>
      <c r="I477" s="193" t="s">
        <v>9</v>
      </c>
      <c r="J477" s="282">
        <f>2219*(100%+20%)</f>
        <v>2662.7999999999997</v>
      </c>
    </row>
    <row r="478" spans="1:10" ht="15">
      <c r="A478" s="418" t="s">
        <v>2020</v>
      </c>
      <c r="B478" s="419"/>
      <c r="C478" s="419"/>
      <c r="D478" s="419"/>
      <c r="E478" s="419"/>
      <c r="F478" s="420"/>
      <c r="G478" s="208"/>
      <c r="H478" s="209"/>
      <c r="I478" s="193" t="s">
        <v>9</v>
      </c>
      <c r="J478" s="282">
        <f>2333*(100%+20%)</f>
        <v>2799.6</v>
      </c>
    </row>
    <row r="479" spans="1:10" ht="15">
      <c r="A479" s="418" t="s">
        <v>2021</v>
      </c>
      <c r="B479" s="419"/>
      <c r="C479" s="419"/>
      <c r="D479" s="419"/>
      <c r="E479" s="419"/>
      <c r="F479" s="420"/>
      <c r="G479" s="208"/>
      <c r="H479" s="209"/>
      <c r="I479" s="193" t="s">
        <v>9</v>
      </c>
      <c r="J479" s="282">
        <f>1822*(100%+20%)</f>
        <v>2186.4</v>
      </c>
    </row>
    <row r="480" spans="1:10" ht="15">
      <c r="A480" s="418" t="s">
        <v>2022</v>
      </c>
      <c r="B480" s="419"/>
      <c r="C480" s="419"/>
      <c r="D480" s="419"/>
      <c r="E480" s="419"/>
      <c r="F480" s="420"/>
      <c r="G480" s="208"/>
      <c r="H480" s="209"/>
      <c r="I480" s="193" t="s">
        <v>9</v>
      </c>
      <c r="J480" s="282">
        <f>1905*(100%+20%)</f>
        <v>2286</v>
      </c>
    </row>
    <row r="481" spans="1:10" ht="15">
      <c r="A481" s="418" t="s">
        <v>2023</v>
      </c>
      <c r="B481" s="419"/>
      <c r="C481" s="419"/>
      <c r="D481" s="419"/>
      <c r="E481" s="419"/>
      <c r="F481" s="420"/>
      <c r="G481" s="208"/>
      <c r="H481" s="209"/>
      <c r="I481" s="193" t="s">
        <v>9</v>
      </c>
      <c r="J481" s="282">
        <f>1456*(100%+20%)</f>
        <v>1747.2</v>
      </c>
    </row>
    <row r="482" spans="1:10" ht="15">
      <c r="A482" s="418" t="s">
        <v>2024</v>
      </c>
      <c r="B482" s="419"/>
      <c r="C482" s="419"/>
      <c r="D482" s="419"/>
      <c r="E482" s="419"/>
      <c r="F482" s="420"/>
      <c r="G482" s="208"/>
      <c r="H482" s="209"/>
      <c r="I482" s="193" t="s">
        <v>9</v>
      </c>
      <c r="J482" s="282">
        <f>1813*(100%+20%)</f>
        <v>2175.6</v>
      </c>
    </row>
    <row r="483" spans="1:10" ht="15">
      <c r="A483" s="418" t="s">
        <v>2025</v>
      </c>
      <c r="B483" s="419"/>
      <c r="C483" s="419"/>
      <c r="D483" s="419"/>
      <c r="E483" s="419"/>
      <c r="F483" s="420"/>
      <c r="G483" s="208"/>
      <c r="H483" s="209"/>
      <c r="I483" s="193" t="s">
        <v>9</v>
      </c>
      <c r="J483" s="282">
        <f>1748*(100%+20%)</f>
        <v>2097.6</v>
      </c>
    </row>
    <row r="484" spans="1:10" ht="15">
      <c r="A484" s="418" t="s">
        <v>2026</v>
      </c>
      <c r="B484" s="419"/>
      <c r="C484" s="419"/>
      <c r="D484" s="419"/>
      <c r="E484" s="419"/>
      <c r="F484" s="420"/>
      <c r="G484" s="208"/>
      <c r="H484" s="209"/>
      <c r="I484" s="193" t="s">
        <v>9</v>
      </c>
      <c r="J484" s="282">
        <f>2086*(100%+20%)</f>
        <v>2503.2</v>
      </c>
    </row>
    <row r="485" spans="1:10" ht="15">
      <c r="A485" s="418" t="s">
        <v>2027</v>
      </c>
      <c r="B485" s="419"/>
      <c r="C485" s="419"/>
      <c r="D485" s="419"/>
      <c r="E485" s="419"/>
      <c r="F485" s="420"/>
      <c r="G485" s="208"/>
      <c r="H485" s="209"/>
      <c r="I485" s="193" t="s">
        <v>9</v>
      </c>
      <c r="J485" s="282">
        <f>1528*(100%+20%)</f>
        <v>1833.6</v>
      </c>
    </row>
    <row r="486" spans="1:10" ht="15">
      <c r="A486" s="418" t="s">
        <v>2028</v>
      </c>
      <c r="B486" s="419"/>
      <c r="C486" s="419"/>
      <c r="D486" s="419"/>
      <c r="E486" s="419"/>
      <c r="F486" s="420"/>
      <c r="G486" s="208"/>
      <c r="H486" s="209"/>
      <c r="I486" s="193" t="s">
        <v>9</v>
      </c>
      <c r="J486" s="282">
        <f>1736*(100%+20%)</f>
        <v>2083.2</v>
      </c>
    </row>
    <row r="487" spans="1:10" ht="15">
      <c r="A487" s="418" t="s">
        <v>2029</v>
      </c>
      <c r="B487" s="419"/>
      <c r="C487" s="419"/>
      <c r="D487" s="419"/>
      <c r="E487" s="419"/>
      <c r="F487" s="420"/>
      <c r="G487" s="208"/>
      <c r="H487" s="209"/>
      <c r="I487" s="193" t="s">
        <v>9</v>
      </c>
      <c r="J487" s="282">
        <f>1454*(100%+20%)</f>
        <v>1744.8</v>
      </c>
    </row>
    <row r="488" spans="1:10" ht="15">
      <c r="A488" s="418" t="s">
        <v>2030</v>
      </c>
      <c r="B488" s="419"/>
      <c r="C488" s="419"/>
      <c r="D488" s="419"/>
      <c r="E488" s="419"/>
      <c r="F488" s="420"/>
      <c r="G488" s="208"/>
      <c r="H488" s="209"/>
      <c r="I488" s="193" t="s">
        <v>9</v>
      </c>
      <c r="J488" s="282">
        <f>1726*(100%+20%)</f>
        <v>2071.2</v>
      </c>
    </row>
    <row r="489" spans="1:10" ht="15">
      <c r="A489" s="418" t="s">
        <v>2031</v>
      </c>
      <c r="B489" s="419"/>
      <c r="C489" s="419"/>
      <c r="D489" s="419"/>
      <c r="E489" s="419"/>
      <c r="F489" s="420"/>
      <c r="G489" s="208"/>
      <c r="H489" s="209"/>
      <c r="I489" s="193" t="s">
        <v>9</v>
      </c>
      <c r="J489" s="282">
        <f>1278*(100%+20%)</f>
        <v>1533.6</v>
      </c>
    </row>
    <row r="490" spans="1:10" ht="15">
      <c r="A490" s="418" t="s">
        <v>2032</v>
      </c>
      <c r="B490" s="419"/>
      <c r="C490" s="419"/>
      <c r="D490" s="419"/>
      <c r="E490" s="419"/>
      <c r="F490" s="420"/>
      <c r="G490" s="208"/>
      <c r="H490" s="209"/>
      <c r="I490" s="193" t="s">
        <v>9</v>
      </c>
      <c r="J490" s="282">
        <f>1445*(100%+20%)</f>
        <v>1734</v>
      </c>
    </row>
    <row r="491" spans="1:10" ht="15">
      <c r="A491" s="418" t="s">
        <v>2033</v>
      </c>
      <c r="B491" s="419"/>
      <c r="C491" s="419"/>
      <c r="D491" s="419"/>
      <c r="E491" s="419"/>
      <c r="F491" s="420"/>
      <c r="G491" s="208"/>
      <c r="H491" s="209"/>
      <c r="I491" s="193" t="s">
        <v>9</v>
      </c>
      <c r="J491" s="282">
        <f>1014*(100%+20%)</f>
        <v>1216.8</v>
      </c>
    </row>
    <row r="492" spans="1:10" ht="15">
      <c r="A492" s="418" t="s">
        <v>2034</v>
      </c>
      <c r="B492" s="419"/>
      <c r="C492" s="419"/>
      <c r="D492" s="419"/>
      <c r="E492" s="419"/>
      <c r="F492" s="420"/>
      <c r="G492" s="208"/>
      <c r="H492" s="209"/>
      <c r="I492" s="193" t="s">
        <v>9</v>
      </c>
      <c r="J492" s="282">
        <f>1069*(100%+20%)</f>
        <v>1282.8</v>
      </c>
    </row>
    <row r="493" spans="1:10" ht="15">
      <c r="A493" s="418" t="s">
        <v>2035</v>
      </c>
      <c r="B493" s="419"/>
      <c r="C493" s="419"/>
      <c r="D493" s="419"/>
      <c r="E493" s="419"/>
      <c r="F493" s="420"/>
      <c r="G493" s="208"/>
      <c r="H493" s="209"/>
      <c r="I493" s="193" t="s">
        <v>9</v>
      </c>
      <c r="J493" s="282">
        <f>979*(100%+20%)</f>
        <v>1174.8</v>
      </c>
    </row>
    <row r="494" spans="1:10" ht="15">
      <c r="A494" s="418" t="s">
        <v>2036</v>
      </c>
      <c r="B494" s="419"/>
      <c r="C494" s="419"/>
      <c r="D494" s="419"/>
      <c r="E494" s="419"/>
      <c r="F494" s="420"/>
      <c r="G494" s="208"/>
      <c r="H494" s="209"/>
      <c r="I494" s="193" t="s">
        <v>9</v>
      </c>
      <c r="J494" s="282">
        <f>1012*(100%+20%)</f>
        <v>1214.3999999999999</v>
      </c>
    </row>
    <row r="495" spans="1:10" ht="15">
      <c r="A495" s="418" t="s">
        <v>2037</v>
      </c>
      <c r="B495" s="419"/>
      <c r="C495" s="419"/>
      <c r="D495" s="419"/>
      <c r="E495" s="419"/>
      <c r="F495" s="420"/>
      <c r="G495" s="208"/>
      <c r="H495" s="209"/>
      <c r="I495" s="193" t="s">
        <v>9</v>
      </c>
      <c r="J495" s="282">
        <f>2109*(100%+20%)</f>
        <v>2530.7999999999997</v>
      </c>
    </row>
    <row r="496" spans="1:10" ht="15">
      <c r="A496" s="418" t="s">
        <v>2038</v>
      </c>
      <c r="B496" s="419"/>
      <c r="C496" s="419"/>
      <c r="D496" s="419"/>
      <c r="E496" s="419"/>
      <c r="F496" s="420"/>
      <c r="G496" s="208"/>
      <c r="H496" s="209"/>
      <c r="I496" s="193" t="s">
        <v>9</v>
      </c>
      <c r="J496" s="282">
        <f>2450*(100%+20%)</f>
        <v>2940</v>
      </c>
    </row>
    <row r="497" spans="1:10" ht="15">
      <c r="A497" s="418" t="s">
        <v>2039</v>
      </c>
      <c r="B497" s="419"/>
      <c r="C497" s="419"/>
      <c r="D497" s="419"/>
      <c r="E497" s="419"/>
      <c r="F497" s="420"/>
      <c r="G497" s="208"/>
      <c r="H497" s="209"/>
      <c r="I497" s="193" t="s">
        <v>9</v>
      </c>
      <c r="J497" s="282">
        <f>1891*(100%+20%)</f>
        <v>2269.2</v>
      </c>
    </row>
    <row r="498" spans="1:10" ht="15">
      <c r="A498" s="418" t="s">
        <v>2040</v>
      </c>
      <c r="B498" s="419"/>
      <c r="C498" s="419"/>
      <c r="D498" s="419"/>
      <c r="E498" s="419"/>
      <c r="F498" s="420"/>
      <c r="G498" s="208"/>
      <c r="H498" s="209"/>
      <c r="I498" s="193" t="s">
        <v>9</v>
      </c>
      <c r="J498" s="282">
        <f>2098*(100%+20%)</f>
        <v>2517.6</v>
      </c>
    </row>
    <row r="499" spans="1:10" ht="15">
      <c r="A499" s="418" t="s">
        <v>2041</v>
      </c>
      <c r="B499" s="419"/>
      <c r="C499" s="419"/>
      <c r="D499" s="419"/>
      <c r="E499" s="419"/>
      <c r="F499" s="420"/>
      <c r="G499" s="208"/>
      <c r="H499" s="209"/>
      <c r="I499" s="193" t="s">
        <v>9</v>
      </c>
      <c r="J499" s="282">
        <f>1817*(100%+20%)</f>
        <v>2180.4</v>
      </c>
    </row>
    <row r="500" spans="1:10" ht="15">
      <c r="A500" s="418" t="s">
        <v>2042</v>
      </c>
      <c r="B500" s="419"/>
      <c r="C500" s="419"/>
      <c r="D500" s="419"/>
      <c r="E500" s="419"/>
      <c r="F500" s="420"/>
      <c r="G500" s="208"/>
      <c r="H500" s="209"/>
      <c r="I500" s="193" t="s">
        <v>9</v>
      </c>
      <c r="J500" s="282">
        <f>2087*(100%+20%)</f>
        <v>2504.4</v>
      </c>
    </row>
    <row r="501" spans="1:10" ht="15">
      <c r="A501" s="418" t="s">
        <v>2043</v>
      </c>
      <c r="B501" s="419"/>
      <c r="C501" s="419"/>
      <c r="D501" s="419"/>
      <c r="E501" s="419"/>
      <c r="F501" s="420"/>
      <c r="G501" s="208"/>
      <c r="H501" s="209"/>
      <c r="I501" s="193" t="s">
        <v>9</v>
      </c>
      <c r="J501" s="282">
        <f>1643*(100%+20%)</f>
        <v>1971.6</v>
      </c>
    </row>
    <row r="502" spans="1:10" ht="15">
      <c r="A502" s="418" t="s">
        <v>2044</v>
      </c>
      <c r="B502" s="419"/>
      <c r="C502" s="419"/>
      <c r="D502" s="419"/>
      <c r="E502" s="419"/>
      <c r="F502" s="420"/>
      <c r="G502" s="208"/>
      <c r="H502" s="209"/>
      <c r="I502" s="193" t="s">
        <v>9</v>
      </c>
      <c r="J502" s="282">
        <f>1808*(100%+20%)</f>
        <v>2169.6</v>
      </c>
    </row>
    <row r="503" spans="1:10" ht="15">
      <c r="A503" s="418" t="s">
        <v>2045</v>
      </c>
      <c r="B503" s="419"/>
      <c r="C503" s="419"/>
      <c r="D503" s="419"/>
      <c r="E503" s="419"/>
      <c r="F503" s="420"/>
      <c r="G503" s="208"/>
      <c r="H503" s="209"/>
      <c r="I503" s="193" t="s">
        <v>9</v>
      </c>
      <c r="J503" s="282">
        <f>1905*(100%+20%)</f>
        <v>2286</v>
      </c>
    </row>
    <row r="504" spans="1:10" ht="15">
      <c r="A504" s="418" t="s">
        <v>2046</v>
      </c>
      <c r="B504" s="419"/>
      <c r="C504" s="419"/>
      <c r="D504" s="419"/>
      <c r="E504" s="419"/>
      <c r="F504" s="420"/>
      <c r="G504" s="208"/>
      <c r="H504" s="209"/>
      <c r="I504" s="193" t="s">
        <v>9</v>
      </c>
      <c r="J504" s="282">
        <f>2242*(100%+20%)</f>
        <v>2690.4</v>
      </c>
    </row>
    <row r="505" spans="1:10" ht="15">
      <c r="A505" s="418" t="s">
        <v>2047</v>
      </c>
      <c r="B505" s="419"/>
      <c r="C505" s="419"/>
      <c r="D505" s="419"/>
      <c r="E505" s="419"/>
      <c r="F505" s="420"/>
      <c r="G505" s="208"/>
      <c r="H505" s="209"/>
      <c r="I505" s="193" t="s">
        <v>9</v>
      </c>
      <c r="J505" s="282">
        <f>1686*(100%+20%)</f>
        <v>2023.1999999999998</v>
      </c>
    </row>
    <row r="506" spans="1:10" ht="15">
      <c r="A506" s="418" t="s">
        <v>2048</v>
      </c>
      <c r="B506" s="419"/>
      <c r="C506" s="419"/>
      <c r="D506" s="419"/>
      <c r="E506" s="419"/>
      <c r="F506" s="420"/>
      <c r="G506" s="208"/>
      <c r="H506" s="209"/>
      <c r="I506" s="193" t="s">
        <v>9</v>
      </c>
      <c r="J506" s="282">
        <f>1892*(100%+20%)</f>
        <v>2270.4</v>
      </c>
    </row>
    <row r="507" spans="1:10" ht="15">
      <c r="A507" s="418" t="s">
        <v>2049</v>
      </c>
      <c r="B507" s="419"/>
      <c r="C507" s="419"/>
      <c r="D507" s="419"/>
      <c r="E507" s="419"/>
      <c r="F507" s="420"/>
      <c r="G507" s="208"/>
      <c r="H507" s="209"/>
      <c r="I507" s="193" t="s">
        <v>9</v>
      </c>
      <c r="J507" s="282">
        <f>1611*(100%+20%)</f>
        <v>1933.1999999999998</v>
      </c>
    </row>
    <row r="508" spans="1:10" ht="15">
      <c r="A508" s="418" t="s">
        <v>2050</v>
      </c>
      <c r="B508" s="419"/>
      <c r="C508" s="419"/>
      <c r="D508" s="419"/>
      <c r="E508" s="419"/>
      <c r="F508" s="420"/>
      <c r="G508" s="208"/>
      <c r="H508" s="209"/>
      <c r="I508" s="193" t="s">
        <v>9</v>
      </c>
      <c r="J508" s="282">
        <f>1882*(100%+20%)</f>
        <v>2258.4</v>
      </c>
    </row>
    <row r="509" spans="1:10" ht="15">
      <c r="A509" s="418" t="s">
        <v>2051</v>
      </c>
      <c r="B509" s="419"/>
      <c r="C509" s="419"/>
      <c r="D509" s="419"/>
      <c r="E509" s="419"/>
      <c r="F509" s="420"/>
      <c r="G509" s="208"/>
      <c r="H509" s="209"/>
      <c r="I509" s="193" t="s">
        <v>9</v>
      </c>
      <c r="J509" s="282">
        <f>1434*(100%+20%)</f>
        <v>1720.8</v>
      </c>
    </row>
    <row r="510" spans="1:10" ht="15">
      <c r="A510" s="418" t="s">
        <v>2052</v>
      </c>
      <c r="B510" s="419"/>
      <c r="C510" s="419"/>
      <c r="D510" s="419"/>
      <c r="E510" s="419"/>
      <c r="F510" s="420"/>
      <c r="G510" s="208"/>
      <c r="H510" s="209"/>
      <c r="I510" s="193" t="s">
        <v>9</v>
      </c>
      <c r="J510" s="282">
        <f>1603*(100%+20%)</f>
        <v>1923.6</v>
      </c>
    </row>
    <row r="511" spans="1:10" ht="15">
      <c r="A511" s="418" t="s">
        <v>2053</v>
      </c>
      <c r="B511" s="419"/>
      <c r="C511" s="419"/>
      <c r="D511" s="419"/>
      <c r="E511" s="419"/>
      <c r="F511" s="420"/>
      <c r="G511" s="208"/>
      <c r="H511" s="209"/>
      <c r="I511" s="193" t="s">
        <v>9</v>
      </c>
      <c r="J511" s="282">
        <f>2271*(100%+20%)</f>
        <v>2725.2</v>
      </c>
    </row>
    <row r="512" spans="1:10" ht="15">
      <c r="A512" s="418" t="s">
        <v>2054</v>
      </c>
      <c r="B512" s="419"/>
      <c r="C512" s="419"/>
      <c r="D512" s="419"/>
      <c r="E512" s="419"/>
      <c r="F512" s="420"/>
      <c r="G512" s="208"/>
      <c r="H512" s="209"/>
      <c r="I512" s="193" t="s">
        <v>9</v>
      </c>
      <c r="J512" s="282">
        <f>2608*(100%+20%)</f>
        <v>3129.6</v>
      </c>
    </row>
    <row r="513" spans="1:10" ht="15">
      <c r="A513" s="418" t="s">
        <v>2055</v>
      </c>
      <c r="B513" s="419"/>
      <c r="C513" s="419"/>
      <c r="D513" s="419"/>
      <c r="E513" s="419"/>
      <c r="F513" s="420"/>
      <c r="G513" s="208"/>
      <c r="H513" s="209"/>
      <c r="I513" s="193" t="s">
        <v>9</v>
      </c>
      <c r="J513" s="282">
        <f>2052*(100%+20%)</f>
        <v>2462.4</v>
      </c>
    </row>
    <row r="514" spans="1:10" ht="15">
      <c r="A514" s="418" t="s">
        <v>2056</v>
      </c>
      <c r="B514" s="419"/>
      <c r="C514" s="419"/>
      <c r="D514" s="419"/>
      <c r="E514" s="419"/>
      <c r="F514" s="420"/>
      <c r="G514" s="208"/>
      <c r="H514" s="209"/>
      <c r="I514" s="193" t="s">
        <v>9</v>
      </c>
      <c r="J514" s="282">
        <f>2258*(100%+20%)</f>
        <v>2709.6</v>
      </c>
    </row>
    <row r="515" spans="1:10" ht="15">
      <c r="A515" s="418" t="s">
        <v>2057</v>
      </c>
      <c r="B515" s="419"/>
      <c r="C515" s="419"/>
      <c r="D515" s="419"/>
      <c r="E515" s="419"/>
      <c r="F515" s="420"/>
      <c r="G515" s="208"/>
      <c r="H515" s="209"/>
      <c r="I515" s="193" t="s">
        <v>9</v>
      </c>
      <c r="J515" s="282">
        <f>1999*(100%+20%)</f>
        <v>2398.7999999999997</v>
      </c>
    </row>
    <row r="516" spans="1:10" ht="15">
      <c r="A516" s="418" t="s">
        <v>2058</v>
      </c>
      <c r="B516" s="419"/>
      <c r="C516" s="419"/>
      <c r="D516" s="419"/>
      <c r="E516" s="419"/>
      <c r="F516" s="420"/>
      <c r="G516" s="208"/>
      <c r="H516" s="209"/>
      <c r="I516" s="193" t="s">
        <v>9</v>
      </c>
      <c r="J516" s="282">
        <f>2271*(100%+20%)</f>
        <v>2725.2</v>
      </c>
    </row>
    <row r="517" spans="1:10" ht="15">
      <c r="A517" s="418" t="s">
        <v>2059</v>
      </c>
      <c r="B517" s="419"/>
      <c r="C517" s="419"/>
      <c r="D517" s="419"/>
      <c r="E517" s="419"/>
      <c r="F517" s="420"/>
      <c r="G517" s="208"/>
      <c r="H517" s="209"/>
      <c r="I517" s="193" t="s">
        <v>9</v>
      </c>
      <c r="J517" s="282">
        <f>1824*(100%+20%)</f>
        <v>2188.7999999999997</v>
      </c>
    </row>
    <row r="518" spans="1:10" ht="15">
      <c r="A518" s="418" t="s">
        <v>2060</v>
      </c>
      <c r="B518" s="419"/>
      <c r="C518" s="419"/>
      <c r="D518" s="419"/>
      <c r="E518" s="419"/>
      <c r="F518" s="420"/>
      <c r="G518" s="208"/>
      <c r="H518" s="209"/>
      <c r="I518" s="193" t="s">
        <v>9</v>
      </c>
      <c r="J518" s="282">
        <f>1991*(100%+20%)</f>
        <v>2389.2</v>
      </c>
    </row>
    <row r="519" spans="1:10" ht="15">
      <c r="A519" s="418" t="s">
        <v>2061</v>
      </c>
      <c r="B519" s="419"/>
      <c r="C519" s="419"/>
      <c r="D519" s="419"/>
      <c r="E519" s="419"/>
      <c r="F519" s="420"/>
      <c r="G519" s="208"/>
      <c r="H519" s="209"/>
      <c r="I519" s="193" t="s">
        <v>9</v>
      </c>
      <c r="J519" s="282">
        <f>861*(100%+20%)</f>
        <v>1033.2</v>
      </c>
    </row>
    <row r="520" spans="1:10" ht="15">
      <c r="A520" s="418" t="s">
        <v>2062</v>
      </c>
      <c r="B520" s="419"/>
      <c r="C520" s="419"/>
      <c r="D520" s="419"/>
      <c r="E520" s="419"/>
      <c r="F520" s="420"/>
      <c r="G520" s="208"/>
      <c r="H520" s="209"/>
      <c r="I520" s="193" t="s">
        <v>9</v>
      </c>
      <c r="J520" s="282">
        <f>914*(100%+20%)</f>
        <v>1096.8</v>
      </c>
    </row>
    <row r="521" spans="1:10" ht="15">
      <c r="A521" s="418" t="s">
        <v>2063</v>
      </c>
      <c r="B521" s="419"/>
      <c r="C521" s="419"/>
      <c r="D521" s="419"/>
      <c r="E521" s="419"/>
      <c r="F521" s="420"/>
      <c r="G521" s="208"/>
      <c r="H521" s="209"/>
      <c r="I521" s="193" t="s">
        <v>9</v>
      </c>
      <c r="J521" s="282">
        <f>825*(100%+20%)</f>
        <v>990</v>
      </c>
    </row>
    <row r="522" spans="1:10" ht="15">
      <c r="A522" s="418" t="s">
        <v>2064</v>
      </c>
      <c r="B522" s="419"/>
      <c r="C522" s="419"/>
      <c r="D522" s="419"/>
      <c r="E522" s="419"/>
      <c r="F522" s="420"/>
      <c r="G522" s="208"/>
      <c r="H522" s="209"/>
      <c r="I522" s="193" t="s">
        <v>9</v>
      </c>
      <c r="J522" s="282">
        <f>859*(100%+20%)</f>
        <v>1030.8</v>
      </c>
    </row>
    <row r="523" spans="1:10" ht="15">
      <c r="A523" s="418" t="s">
        <v>2065</v>
      </c>
      <c r="B523" s="419"/>
      <c r="C523" s="419"/>
      <c r="D523" s="419"/>
      <c r="E523" s="419"/>
      <c r="F523" s="420"/>
      <c r="G523" s="208"/>
      <c r="H523" s="209"/>
      <c r="I523" s="193" t="s">
        <v>9</v>
      </c>
      <c r="J523" s="282">
        <f>2108*(100%+20%)</f>
        <v>2529.6</v>
      </c>
    </row>
    <row r="524" spans="1:10" ht="15">
      <c r="A524" s="418" t="s">
        <v>2066</v>
      </c>
      <c r="B524" s="419"/>
      <c r="C524" s="419"/>
      <c r="D524" s="419"/>
      <c r="E524" s="419"/>
      <c r="F524" s="420"/>
      <c r="G524" s="208"/>
      <c r="H524" s="209"/>
      <c r="I524" s="193" t="s">
        <v>9</v>
      </c>
      <c r="J524" s="282">
        <f>2325*(100%+20%)</f>
        <v>2790</v>
      </c>
    </row>
    <row r="525" spans="1:10" ht="15">
      <c r="A525" s="418" t="s">
        <v>2067</v>
      </c>
      <c r="B525" s="419"/>
      <c r="C525" s="419"/>
      <c r="D525" s="419"/>
      <c r="E525" s="419"/>
      <c r="F525" s="420"/>
      <c r="G525" s="208"/>
      <c r="H525" s="209"/>
      <c r="I525" s="193" t="s">
        <v>9</v>
      </c>
      <c r="J525" s="282">
        <f>2264*(100%+20%)</f>
        <v>2716.7999999999997</v>
      </c>
    </row>
    <row r="526" spans="1:10" ht="15">
      <c r="A526" s="418" t="s">
        <v>2068</v>
      </c>
      <c r="B526" s="419"/>
      <c r="C526" s="419"/>
      <c r="D526" s="419"/>
      <c r="E526" s="419"/>
      <c r="F526" s="420"/>
      <c r="G526" s="208"/>
      <c r="H526" s="209"/>
      <c r="I526" s="193" t="s">
        <v>9</v>
      </c>
      <c r="J526" s="282">
        <f>2483*(100%+20%)</f>
        <v>2979.6</v>
      </c>
    </row>
    <row r="527" spans="1:10" ht="15">
      <c r="A527" s="418" t="s">
        <v>2069</v>
      </c>
      <c r="B527" s="419"/>
      <c r="C527" s="419"/>
      <c r="D527" s="419"/>
      <c r="E527" s="419"/>
      <c r="F527" s="420"/>
      <c r="G527" s="208"/>
      <c r="H527" s="209"/>
      <c r="I527" s="193" t="s">
        <v>9</v>
      </c>
      <c r="J527" s="282">
        <f>2124*(100%+20%)</f>
        <v>2548.7999999999997</v>
      </c>
    </row>
    <row r="528" spans="1:10" ht="15">
      <c r="A528" s="418" t="s">
        <v>2070</v>
      </c>
      <c r="B528" s="419"/>
      <c r="C528" s="419"/>
      <c r="D528" s="419"/>
      <c r="E528" s="419"/>
      <c r="F528" s="420"/>
      <c r="G528" s="208"/>
      <c r="H528" s="209"/>
      <c r="I528" s="193" t="s">
        <v>9</v>
      </c>
      <c r="J528" s="282">
        <f>2258*(100%+20%)</f>
        <v>2709.6</v>
      </c>
    </row>
    <row r="529" spans="1:10" ht="15">
      <c r="A529" s="418" t="s">
        <v>2071</v>
      </c>
      <c r="B529" s="419"/>
      <c r="C529" s="419"/>
      <c r="D529" s="419"/>
      <c r="E529" s="419"/>
      <c r="F529" s="420"/>
      <c r="G529" s="208"/>
      <c r="H529" s="209"/>
      <c r="I529" s="193" t="s">
        <v>9</v>
      </c>
      <c r="J529" s="282">
        <f>1966*(100%+20%)</f>
        <v>2359.2</v>
      </c>
    </row>
    <row r="530" spans="1:10" ht="15">
      <c r="A530" s="418" t="s">
        <v>2072</v>
      </c>
      <c r="B530" s="419"/>
      <c r="C530" s="419"/>
      <c r="D530" s="419"/>
      <c r="E530" s="419"/>
      <c r="F530" s="420"/>
      <c r="G530" s="208"/>
      <c r="H530" s="209"/>
      <c r="I530" s="193" t="s">
        <v>9</v>
      </c>
      <c r="J530" s="282">
        <f>2101*(100%+20%)</f>
        <v>2521.2</v>
      </c>
    </row>
    <row r="531" spans="1:10" ht="15">
      <c r="A531" s="418" t="s">
        <v>2073</v>
      </c>
      <c r="B531" s="419"/>
      <c r="C531" s="419"/>
      <c r="D531" s="419"/>
      <c r="E531" s="419"/>
      <c r="F531" s="420"/>
      <c r="G531" s="208"/>
      <c r="H531" s="209"/>
      <c r="I531" s="193" t="s">
        <v>9</v>
      </c>
      <c r="J531" s="282">
        <f>2108*(100%+20%)</f>
        <v>2529.6</v>
      </c>
    </row>
    <row r="532" spans="1:10" ht="15">
      <c r="A532" s="418" t="s">
        <v>2074</v>
      </c>
      <c r="B532" s="419"/>
      <c r="C532" s="419"/>
      <c r="D532" s="419"/>
      <c r="E532" s="419"/>
      <c r="F532" s="420"/>
      <c r="G532" s="208"/>
      <c r="H532" s="209"/>
      <c r="I532" s="193" t="s">
        <v>9</v>
      </c>
      <c r="J532" s="282">
        <f>2325*(100%+20%)</f>
        <v>2790</v>
      </c>
    </row>
    <row r="533" spans="1:10" ht="15">
      <c r="A533" s="418" t="s">
        <v>2075</v>
      </c>
      <c r="B533" s="419"/>
      <c r="C533" s="419"/>
      <c r="D533" s="419"/>
      <c r="E533" s="419"/>
      <c r="F533" s="420"/>
      <c r="G533" s="208"/>
      <c r="H533" s="209"/>
      <c r="I533" s="193" t="s">
        <v>9</v>
      </c>
      <c r="J533" s="282">
        <f>2264*(100%+20%)</f>
        <v>2716.7999999999997</v>
      </c>
    </row>
    <row r="534" spans="1:10" ht="15">
      <c r="A534" s="418" t="s">
        <v>2076</v>
      </c>
      <c r="B534" s="419"/>
      <c r="C534" s="419"/>
      <c r="D534" s="419"/>
      <c r="E534" s="419"/>
      <c r="F534" s="420"/>
      <c r="G534" s="208"/>
      <c r="H534" s="209"/>
      <c r="I534" s="193" t="s">
        <v>9</v>
      </c>
      <c r="J534" s="282">
        <f>2483*(100%+20%)</f>
        <v>2979.6</v>
      </c>
    </row>
    <row r="535" spans="1:10" ht="15">
      <c r="A535" s="418" t="s">
        <v>2077</v>
      </c>
      <c r="B535" s="419"/>
      <c r="C535" s="419"/>
      <c r="D535" s="419"/>
      <c r="E535" s="419"/>
      <c r="F535" s="420"/>
      <c r="G535" s="208"/>
      <c r="H535" s="209"/>
      <c r="I535" s="193" t="s">
        <v>9</v>
      </c>
      <c r="J535" s="282">
        <f>2124*(100%+20%)</f>
        <v>2548.7999999999997</v>
      </c>
    </row>
    <row r="536" spans="1:10" ht="15">
      <c r="A536" s="418" t="s">
        <v>2078</v>
      </c>
      <c r="B536" s="419"/>
      <c r="C536" s="419"/>
      <c r="D536" s="419"/>
      <c r="E536" s="419"/>
      <c r="F536" s="420"/>
      <c r="G536" s="208"/>
      <c r="H536" s="209"/>
      <c r="I536" s="193" t="s">
        <v>9</v>
      </c>
      <c r="J536" s="282">
        <f>2258*(100%+20%)</f>
        <v>2709.6</v>
      </c>
    </row>
    <row r="537" spans="1:10" ht="15">
      <c r="A537" s="418" t="s">
        <v>2079</v>
      </c>
      <c r="B537" s="419"/>
      <c r="C537" s="419"/>
      <c r="D537" s="419"/>
      <c r="E537" s="419"/>
      <c r="F537" s="420"/>
      <c r="G537" s="208"/>
      <c r="H537" s="209"/>
      <c r="I537" s="193" t="s">
        <v>9</v>
      </c>
      <c r="J537" s="282">
        <f>1966*(100%+20%)</f>
        <v>2359.2</v>
      </c>
    </row>
    <row r="538" spans="1:10" ht="15">
      <c r="A538" s="418" t="s">
        <v>2080</v>
      </c>
      <c r="B538" s="419"/>
      <c r="C538" s="419"/>
      <c r="D538" s="419"/>
      <c r="E538" s="419"/>
      <c r="F538" s="420"/>
      <c r="G538" s="208"/>
      <c r="H538" s="209"/>
      <c r="I538" s="193" t="s">
        <v>9</v>
      </c>
      <c r="J538" s="282">
        <f>2101*(100%+20%)</f>
        <v>2521.2</v>
      </c>
    </row>
    <row r="539" spans="1:10" ht="15">
      <c r="A539" s="418" t="s">
        <v>2081</v>
      </c>
      <c r="B539" s="419"/>
      <c r="C539" s="419"/>
      <c r="D539" s="419"/>
      <c r="E539" s="419"/>
      <c r="F539" s="420"/>
      <c r="G539" s="208"/>
      <c r="H539" s="209"/>
      <c r="I539" s="193" t="s">
        <v>9</v>
      </c>
      <c r="J539" s="282">
        <f>1389*(100%+20%)</f>
        <v>1666.8</v>
      </c>
    </row>
    <row r="540" spans="1:10" ht="15">
      <c r="A540" s="418" t="s">
        <v>2082</v>
      </c>
      <c r="B540" s="419"/>
      <c r="C540" s="419"/>
      <c r="D540" s="419"/>
      <c r="E540" s="419"/>
      <c r="F540" s="420"/>
      <c r="G540" s="208"/>
      <c r="H540" s="209"/>
      <c r="I540" s="193" t="s">
        <v>9</v>
      </c>
      <c r="J540" s="282">
        <f>1727*(100%+20%)</f>
        <v>2072.4</v>
      </c>
    </row>
    <row r="541" spans="1:10" ht="15">
      <c r="A541" s="418" t="s">
        <v>2083</v>
      </c>
      <c r="B541" s="419"/>
      <c r="C541" s="419"/>
      <c r="D541" s="419"/>
      <c r="E541" s="419"/>
      <c r="F541" s="420"/>
      <c r="G541" s="208"/>
      <c r="H541" s="209"/>
      <c r="I541" s="193" t="s">
        <v>9</v>
      </c>
      <c r="J541" s="282">
        <f>1169*(100%+20%)</f>
        <v>1402.8</v>
      </c>
    </row>
    <row r="542" spans="1:10" ht="15">
      <c r="A542" s="418" t="s">
        <v>2084</v>
      </c>
      <c r="B542" s="419"/>
      <c r="C542" s="419"/>
      <c r="D542" s="419"/>
      <c r="E542" s="419"/>
      <c r="F542" s="420"/>
      <c r="G542" s="208"/>
      <c r="H542" s="209"/>
      <c r="I542" s="193" t="s">
        <v>9</v>
      </c>
      <c r="J542" s="282">
        <f>1378*(100%+20%)</f>
        <v>1653.6</v>
      </c>
    </row>
    <row r="543" spans="1:10" ht="15">
      <c r="A543" s="418" t="s">
        <v>2085</v>
      </c>
      <c r="B543" s="419"/>
      <c r="C543" s="419"/>
      <c r="D543" s="419"/>
      <c r="E543" s="419"/>
      <c r="F543" s="420"/>
      <c r="G543" s="208"/>
      <c r="H543" s="209"/>
      <c r="I543" s="193" t="s">
        <v>9</v>
      </c>
      <c r="J543" s="282">
        <f>1095*(100%+20%)</f>
        <v>1314</v>
      </c>
    </row>
    <row r="544" spans="1:10" ht="15">
      <c r="A544" s="418" t="s">
        <v>2086</v>
      </c>
      <c r="B544" s="419"/>
      <c r="C544" s="419"/>
      <c r="D544" s="419"/>
      <c r="E544" s="419"/>
      <c r="F544" s="420"/>
      <c r="G544" s="208"/>
      <c r="H544" s="209"/>
      <c r="I544" s="193" t="s">
        <v>9</v>
      </c>
      <c r="J544" s="282">
        <f>1367*(100%+20%)</f>
        <v>1640.3999999999999</v>
      </c>
    </row>
    <row r="545" spans="1:10" ht="15">
      <c r="A545" s="418" t="s">
        <v>2087</v>
      </c>
      <c r="B545" s="419"/>
      <c r="C545" s="419"/>
      <c r="D545" s="419"/>
      <c r="E545" s="419"/>
      <c r="F545" s="420"/>
      <c r="G545" s="208"/>
      <c r="H545" s="209"/>
      <c r="I545" s="193" t="s">
        <v>9</v>
      </c>
      <c r="J545" s="282">
        <f>920*(100%+20%)</f>
        <v>1104</v>
      </c>
    </row>
    <row r="546" spans="1:10" ht="15">
      <c r="A546" s="418" t="s">
        <v>2088</v>
      </c>
      <c r="B546" s="419"/>
      <c r="C546" s="419"/>
      <c r="D546" s="419"/>
      <c r="E546" s="419"/>
      <c r="F546" s="420"/>
      <c r="G546" s="208"/>
      <c r="H546" s="209"/>
      <c r="I546" s="193" t="s">
        <v>9</v>
      </c>
      <c r="J546" s="282">
        <f>1085*(100%+20%)</f>
        <v>1302</v>
      </c>
    </row>
    <row r="547" spans="1:10" ht="15">
      <c r="A547" s="418" t="s">
        <v>2089</v>
      </c>
      <c r="B547" s="419"/>
      <c r="C547" s="419"/>
      <c r="D547" s="419"/>
      <c r="E547" s="419"/>
      <c r="F547" s="420"/>
      <c r="G547" s="208"/>
      <c r="H547" s="209"/>
      <c r="I547" s="193" t="s">
        <v>9</v>
      </c>
      <c r="J547" s="282">
        <f>750*(100%+20%)</f>
        <v>900</v>
      </c>
    </row>
    <row r="548" spans="1:10" ht="15">
      <c r="A548" s="418" t="s">
        <v>2090</v>
      </c>
      <c r="B548" s="419"/>
      <c r="C548" s="419"/>
      <c r="D548" s="419"/>
      <c r="E548" s="419"/>
      <c r="F548" s="420"/>
      <c r="G548" s="208"/>
      <c r="H548" s="209"/>
      <c r="I548" s="193" t="s">
        <v>9</v>
      </c>
      <c r="J548" s="282">
        <f>790*(100%+20%)</f>
        <v>948</v>
      </c>
    </row>
    <row r="549" spans="1:10" ht="15">
      <c r="A549" s="418" t="s">
        <v>2091</v>
      </c>
      <c r="B549" s="419"/>
      <c r="C549" s="419"/>
      <c r="D549" s="419"/>
      <c r="E549" s="419"/>
      <c r="F549" s="420"/>
      <c r="G549" s="208"/>
      <c r="H549" s="209"/>
      <c r="I549" s="193" t="s">
        <v>9</v>
      </c>
      <c r="J549" s="282">
        <f>723*(100%+20%)</f>
        <v>867.6</v>
      </c>
    </row>
    <row r="550" spans="1:10" ht="15">
      <c r="A550" s="418" t="s">
        <v>2092</v>
      </c>
      <c r="B550" s="419"/>
      <c r="C550" s="419"/>
      <c r="D550" s="419"/>
      <c r="E550" s="419"/>
      <c r="F550" s="420"/>
      <c r="G550" s="208"/>
      <c r="H550" s="209"/>
      <c r="I550" s="193" t="s">
        <v>9</v>
      </c>
      <c r="J550" s="282">
        <f>748*(100%+20%)</f>
        <v>897.6</v>
      </c>
    </row>
    <row r="551" spans="1:10" ht="15">
      <c r="A551" s="418" t="s">
        <v>2093</v>
      </c>
      <c r="B551" s="419"/>
      <c r="C551" s="419"/>
      <c r="D551" s="419"/>
      <c r="E551" s="419"/>
      <c r="F551" s="420"/>
      <c r="G551" s="208"/>
      <c r="H551" s="209"/>
      <c r="I551" s="193" t="s">
        <v>9</v>
      </c>
      <c r="J551" s="282">
        <f>3161*(100%+20%)</f>
        <v>3793.2</v>
      </c>
    </row>
    <row r="552" spans="1:10" ht="15">
      <c r="A552" s="418" t="s">
        <v>2094</v>
      </c>
      <c r="B552" s="419"/>
      <c r="C552" s="419"/>
      <c r="D552" s="419"/>
      <c r="E552" s="419"/>
      <c r="F552" s="420"/>
      <c r="G552" s="208"/>
      <c r="H552" s="209"/>
      <c r="I552" s="193" t="s">
        <v>9</v>
      </c>
      <c r="J552" s="282">
        <f>3499*(100%+20%)</f>
        <v>4198.8</v>
      </c>
    </row>
    <row r="553" spans="1:10" ht="15">
      <c r="A553" s="418" t="s">
        <v>2095</v>
      </c>
      <c r="B553" s="419"/>
      <c r="C553" s="419"/>
      <c r="D553" s="419"/>
      <c r="E553" s="419"/>
      <c r="F553" s="420"/>
      <c r="G553" s="208"/>
      <c r="H553" s="209"/>
      <c r="I553" s="193" t="s">
        <v>9</v>
      </c>
      <c r="J553" s="282">
        <f>2940*(100%+20%)</f>
        <v>3528</v>
      </c>
    </row>
    <row r="554" spans="1:10" ht="15">
      <c r="A554" s="418" t="s">
        <v>2096</v>
      </c>
      <c r="B554" s="419"/>
      <c r="C554" s="419"/>
      <c r="D554" s="419"/>
      <c r="E554" s="419"/>
      <c r="F554" s="420"/>
      <c r="G554" s="208"/>
      <c r="H554" s="209"/>
      <c r="I554" s="193" t="s">
        <v>9</v>
      </c>
      <c r="J554" s="282">
        <f>3150*(100%+20%)</f>
        <v>3780</v>
      </c>
    </row>
    <row r="555" spans="1:10" ht="15">
      <c r="A555" s="418" t="s">
        <v>2097</v>
      </c>
      <c r="B555" s="419"/>
      <c r="C555" s="419"/>
      <c r="D555" s="419"/>
      <c r="E555" s="419"/>
      <c r="F555" s="420"/>
      <c r="G555" s="208"/>
      <c r="H555" s="209"/>
      <c r="I555" s="193" t="s">
        <v>9</v>
      </c>
      <c r="J555" s="282">
        <f>2867*(100%+20%)</f>
        <v>3440.4</v>
      </c>
    </row>
    <row r="556" spans="1:10" ht="15">
      <c r="A556" s="418" t="s">
        <v>2098</v>
      </c>
      <c r="B556" s="419"/>
      <c r="C556" s="419"/>
      <c r="D556" s="419"/>
      <c r="E556" s="419"/>
      <c r="F556" s="420"/>
      <c r="G556" s="208"/>
      <c r="H556" s="209"/>
      <c r="I556" s="193" t="s">
        <v>9</v>
      </c>
      <c r="J556" s="282">
        <f>3139*(100%+20%)</f>
        <v>3766.7999999999997</v>
      </c>
    </row>
    <row r="557" spans="1:10" ht="15">
      <c r="A557" s="418" t="s">
        <v>2099</v>
      </c>
      <c r="B557" s="419"/>
      <c r="C557" s="419"/>
      <c r="D557" s="419"/>
      <c r="E557" s="419"/>
      <c r="F557" s="420"/>
      <c r="G557" s="208"/>
      <c r="H557" s="209"/>
      <c r="I557" s="193" t="s">
        <v>9</v>
      </c>
      <c r="J557" s="282">
        <f>2694*(100%+20%)</f>
        <v>3232.7999999999997</v>
      </c>
    </row>
    <row r="558" spans="1:10" ht="15">
      <c r="A558" s="418" t="s">
        <v>2100</v>
      </c>
      <c r="B558" s="419"/>
      <c r="C558" s="419"/>
      <c r="D558" s="419"/>
      <c r="E558" s="419"/>
      <c r="F558" s="420"/>
      <c r="G558" s="208"/>
      <c r="H558" s="209"/>
      <c r="I558" s="193" t="s">
        <v>9</v>
      </c>
      <c r="J558" s="282">
        <f>2857*(100%+20%)</f>
        <v>3428.4</v>
      </c>
    </row>
    <row r="559" spans="1:10" ht="15">
      <c r="A559" s="418" t="s">
        <v>2101</v>
      </c>
      <c r="B559" s="419"/>
      <c r="C559" s="419"/>
      <c r="D559" s="419"/>
      <c r="E559" s="419"/>
      <c r="F559" s="420"/>
      <c r="G559" s="208"/>
      <c r="H559" s="209"/>
      <c r="I559" s="193" t="s">
        <v>9</v>
      </c>
      <c r="J559" s="282">
        <f>3161*(100%+20%)</f>
        <v>3793.2</v>
      </c>
    </row>
    <row r="560" spans="1:10" ht="15">
      <c r="A560" s="418" t="s">
        <v>2102</v>
      </c>
      <c r="B560" s="419"/>
      <c r="C560" s="419"/>
      <c r="D560" s="419"/>
      <c r="E560" s="419"/>
      <c r="F560" s="420"/>
      <c r="G560" s="208"/>
      <c r="H560" s="209"/>
      <c r="I560" s="193" t="s">
        <v>9</v>
      </c>
      <c r="J560" s="282">
        <f>3499*(100%+20%)</f>
        <v>4198.8</v>
      </c>
    </row>
    <row r="561" spans="1:10" ht="15">
      <c r="A561" s="418" t="s">
        <v>2103</v>
      </c>
      <c r="B561" s="419"/>
      <c r="C561" s="419"/>
      <c r="D561" s="419"/>
      <c r="E561" s="419"/>
      <c r="F561" s="420"/>
      <c r="G561" s="208"/>
      <c r="H561" s="209"/>
      <c r="I561" s="193" t="s">
        <v>9</v>
      </c>
      <c r="J561" s="282">
        <f>2940*(100%+20%)</f>
        <v>3528</v>
      </c>
    </row>
    <row r="562" spans="1:10" ht="15">
      <c r="A562" s="418" t="s">
        <v>2104</v>
      </c>
      <c r="B562" s="419"/>
      <c r="C562" s="419"/>
      <c r="D562" s="419"/>
      <c r="E562" s="419"/>
      <c r="F562" s="420"/>
      <c r="G562" s="208"/>
      <c r="H562" s="209"/>
      <c r="I562" s="193" t="s">
        <v>9</v>
      </c>
      <c r="J562" s="282">
        <f>3150*(100%+20%)</f>
        <v>3780</v>
      </c>
    </row>
    <row r="563" spans="1:10" ht="15">
      <c r="A563" s="418" t="s">
        <v>2105</v>
      </c>
      <c r="B563" s="419"/>
      <c r="C563" s="419"/>
      <c r="D563" s="419"/>
      <c r="E563" s="419"/>
      <c r="F563" s="420"/>
      <c r="G563" s="208"/>
      <c r="H563" s="209"/>
      <c r="I563" s="193" t="s">
        <v>9</v>
      </c>
      <c r="J563" s="282">
        <f>2867*(100%+20%)</f>
        <v>3440.4</v>
      </c>
    </row>
    <row r="564" spans="1:10" ht="15">
      <c r="A564" s="418" t="s">
        <v>2106</v>
      </c>
      <c r="B564" s="419"/>
      <c r="C564" s="419"/>
      <c r="D564" s="419"/>
      <c r="E564" s="419"/>
      <c r="F564" s="420"/>
      <c r="G564" s="208"/>
      <c r="H564" s="209"/>
      <c r="I564" s="193" t="s">
        <v>9</v>
      </c>
      <c r="J564" s="282">
        <f>3139*(100%+20%)</f>
        <v>3766.7999999999997</v>
      </c>
    </row>
    <row r="565" spans="1:10" ht="15">
      <c r="A565" s="418" t="s">
        <v>2107</v>
      </c>
      <c r="B565" s="419"/>
      <c r="C565" s="419"/>
      <c r="D565" s="419"/>
      <c r="E565" s="419"/>
      <c r="F565" s="420"/>
      <c r="G565" s="208"/>
      <c r="H565" s="209"/>
      <c r="I565" s="193" t="s">
        <v>9</v>
      </c>
      <c r="J565" s="282">
        <f>2694*(100%+20%)</f>
        <v>3232.7999999999997</v>
      </c>
    </row>
    <row r="566" spans="1:10" ht="15">
      <c r="A566" s="418" t="s">
        <v>2108</v>
      </c>
      <c r="B566" s="419"/>
      <c r="C566" s="419"/>
      <c r="D566" s="419"/>
      <c r="E566" s="419"/>
      <c r="F566" s="420"/>
      <c r="G566" s="208"/>
      <c r="H566" s="209"/>
      <c r="I566" s="193" t="s">
        <v>9</v>
      </c>
      <c r="J566" s="282">
        <f>2857*(100%+20%)</f>
        <v>3428.4</v>
      </c>
    </row>
    <row r="567" spans="1:10" ht="15">
      <c r="A567" s="418" t="s">
        <v>2109</v>
      </c>
      <c r="B567" s="419"/>
      <c r="C567" s="419"/>
      <c r="D567" s="419"/>
      <c r="E567" s="419"/>
      <c r="F567" s="420"/>
      <c r="G567" s="208"/>
      <c r="H567" s="209"/>
      <c r="I567" s="193" t="s">
        <v>9</v>
      </c>
      <c r="J567" s="282">
        <f>2187*(100%+20%)</f>
        <v>2624.4</v>
      </c>
    </row>
    <row r="568" spans="1:10" ht="15">
      <c r="A568" s="418" t="s">
        <v>2110</v>
      </c>
      <c r="B568" s="419"/>
      <c r="C568" s="419"/>
      <c r="D568" s="419"/>
      <c r="E568" s="419"/>
      <c r="F568" s="420"/>
      <c r="G568" s="208"/>
      <c r="H568" s="209"/>
      <c r="I568" s="193" t="s">
        <v>9</v>
      </c>
      <c r="J568" s="282">
        <f>2528*(100%+20%)</f>
        <v>3033.6</v>
      </c>
    </row>
    <row r="569" spans="1:10" ht="15">
      <c r="A569" s="418" t="s">
        <v>2111</v>
      </c>
      <c r="B569" s="419"/>
      <c r="C569" s="419"/>
      <c r="D569" s="419"/>
      <c r="E569" s="419"/>
      <c r="F569" s="420"/>
      <c r="G569" s="208"/>
      <c r="H569" s="209"/>
      <c r="I569" s="193" t="s">
        <v>9</v>
      </c>
      <c r="J569" s="282">
        <f>1577*(100%+20%)</f>
        <v>1892.3999999999999</v>
      </c>
    </row>
    <row r="570" spans="1:10" ht="15">
      <c r="A570" s="418" t="s">
        <v>2112</v>
      </c>
      <c r="B570" s="419"/>
      <c r="C570" s="419"/>
      <c r="D570" s="419"/>
      <c r="E570" s="419"/>
      <c r="F570" s="420"/>
      <c r="G570" s="208"/>
      <c r="H570" s="209"/>
      <c r="I570" s="193" t="s">
        <v>9</v>
      </c>
      <c r="J570" s="282">
        <f>2176*(100%+20%)</f>
        <v>2611.2</v>
      </c>
    </row>
    <row r="571" spans="1:10" ht="15">
      <c r="A571" s="418" t="s">
        <v>2113</v>
      </c>
      <c r="B571" s="419"/>
      <c r="C571" s="419"/>
      <c r="D571" s="419"/>
      <c r="E571" s="419"/>
      <c r="F571" s="420"/>
      <c r="G571" s="208"/>
      <c r="H571" s="209"/>
      <c r="I571" s="193" t="s">
        <v>9</v>
      </c>
      <c r="J571" s="282">
        <f>1897*(100%+20%)</f>
        <v>2276.4</v>
      </c>
    </row>
    <row r="572" spans="1:10" ht="15">
      <c r="A572" s="418" t="s">
        <v>2114</v>
      </c>
      <c r="B572" s="419"/>
      <c r="C572" s="419"/>
      <c r="D572" s="419"/>
      <c r="E572" s="419"/>
      <c r="F572" s="420"/>
      <c r="G572" s="208"/>
      <c r="H572" s="209"/>
      <c r="I572" s="193" t="s">
        <v>9</v>
      </c>
      <c r="J572" s="282">
        <f>2167*(100%+20%)</f>
        <v>2600.4</v>
      </c>
    </row>
    <row r="573" spans="1:10" ht="15">
      <c r="A573" s="418" t="s">
        <v>2115</v>
      </c>
      <c r="B573" s="419"/>
      <c r="C573" s="419"/>
      <c r="D573" s="419"/>
      <c r="E573" s="419"/>
      <c r="F573" s="420"/>
      <c r="G573" s="208"/>
      <c r="H573" s="209"/>
      <c r="I573" s="193" t="s">
        <v>9</v>
      </c>
      <c r="J573" s="282">
        <f>1721*(100%+20%)</f>
        <v>2065.2</v>
      </c>
    </row>
    <row r="574" spans="1:10" ht="15">
      <c r="A574" s="418" t="s">
        <v>2116</v>
      </c>
      <c r="B574" s="419"/>
      <c r="C574" s="419"/>
      <c r="D574" s="419"/>
      <c r="E574" s="419"/>
      <c r="F574" s="420"/>
      <c r="G574" s="208"/>
      <c r="H574" s="209"/>
      <c r="I574" s="193" t="s">
        <v>9</v>
      </c>
      <c r="J574" s="282">
        <f>1888*(100%+20%)</f>
        <v>2265.6</v>
      </c>
    </row>
    <row r="575" spans="1:10" ht="15">
      <c r="A575" s="418" t="s">
        <v>2117</v>
      </c>
      <c r="B575" s="419"/>
      <c r="C575" s="419"/>
      <c r="D575" s="419"/>
      <c r="E575" s="419"/>
      <c r="F575" s="420"/>
      <c r="G575" s="208"/>
      <c r="H575" s="209"/>
      <c r="I575" s="193" t="s">
        <v>9</v>
      </c>
      <c r="J575" s="282">
        <f>1283*(100%+20%)</f>
        <v>1539.6</v>
      </c>
    </row>
    <row r="576" spans="1:10" ht="15">
      <c r="A576" s="418" t="s">
        <v>2118</v>
      </c>
      <c r="B576" s="419"/>
      <c r="C576" s="419"/>
      <c r="D576" s="419"/>
      <c r="E576" s="419"/>
      <c r="F576" s="420"/>
      <c r="G576" s="208"/>
      <c r="H576" s="209"/>
      <c r="I576" s="193" t="s">
        <v>9</v>
      </c>
      <c r="J576" s="282">
        <f>1323*(100%+20%)</f>
        <v>1587.6</v>
      </c>
    </row>
    <row r="577" spans="1:10" ht="15">
      <c r="A577" s="418" t="s">
        <v>2119</v>
      </c>
      <c r="B577" s="419"/>
      <c r="C577" s="419"/>
      <c r="D577" s="419"/>
      <c r="E577" s="419"/>
      <c r="F577" s="420"/>
      <c r="G577" s="208"/>
      <c r="H577" s="209"/>
      <c r="I577" s="193" t="s">
        <v>9</v>
      </c>
      <c r="J577" s="282">
        <f>1005*(100%+20%)</f>
        <v>1206</v>
      </c>
    </row>
    <row r="578" spans="1:10" ht="15">
      <c r="A578" s="418" t="s">
        <v>2120</v>
      </c>
      <c r="B578" s="419"/>
      <c r="C578" s="419"/>
      <c r="D578" s="419"/>
      <c r="E578" s="419"/>
      <c r="F578" s="420"/>
      <c r="G578" s="208"/>
      <c r="H578" s="209"/>
      <c r="I578" s="193" t="s">
        <v>9</v>
      </c>
      <c r="J578" s="282">
        <f>1282*(100%+20%)</f>
        <v>1538.3999999999999</v>
      </c>
    </row>
    <row r="579" spans="1:10" ht="15">
      <c r="A579" s="418" t="s">
        <v>2121</v>
      </c>
      <c r="B579" s="419"/>
      <c r="C579" s="419"/>
      <c r="D579" s="419"/>
      <c r="E579" s="419"/>
      <c r="F579" s="420"/>
      <c r="G579" s="208"/>
      <c r="H579" s="209"/>
      <c r="I579" s="193" t="s">
        <v>9</v>
      </c>
      <c r="J579" s="282">
        <f>1838*(100%+20%)</f>
        <v>2205.6</v>
      </c>
    </row>
    <row r="580" spans="1:10" ht="15">
      <c r="A580" s="418" t="s">
        <v>2122</v>
      </c>
      <c r="B580" s="419"/>
      <c r="C580" s="419"/>
      <c r="D580" s="419"/>
      <c r="E580" s="419"/>
      <c r="F580" s="420"/>
      <c r="G580" s="208"/>
      <c r="H580" s="209"/>
      <c r="I580" s="193" t="s">
        <v>9</v>
      </c>
      <c r="J580" s="282">
        <f>2176*(100%+20%)</f>
        <v>2611.2</v>
      </c>
    </row>
    <row r="581" spans="1:10" ht="15">
      <c r="A581" s="418" t="s">
        <v>2123</v>
      </c>
      <c r="B581" s="419"/>
      <c r="C581" s="419"/>
      <c r="D581" s="419"/>
      <c r="E581" s="419"/>
      <c r="F581" s="420"/>
      <c r="G581" s="208"/>
      <c r="H581" s="209"/>
      <c r="I581" s="193" t="s">
        <v>9</v>
      </c>
      <c r="J581" s="282">
        <f>1621*(100%+20%)</f>
        <v>1945.1999999999998</v>
      </c>
    </row>
    <row r="582" spans="1:10" ht="15">
      <c r="A582" s="418" t="s">
        <v>2124</v>
      </c>
      <c r="B582" s="419"/>
      <c r="C582" s="419"/>
      <c r="D582" s="419"/>
      <c r="E582" s="419"/>
      <c r="F582" s="420"/>
      <c r="G582" s="208"/>
      <c r="H582" s="209"/>
      <c r="I582" s="193" t="s">
        <v>9</v>
      </c>
      <c r="J582" s="282">
        <f>1827*(100%+20%)</f>
        <v>2192.4</v>
      </c>
    </row>
    <row r="583" spans="1:10" ht="15">
      <c r="A583" s="418" t="s">
        <v>2125</v>
      </c>
      <c r="B583" s="419"/>
      <c r="C583" s="419"/>
      <c r="D583" s="419"/>
      <c r="E583" s="419"/>
      <c r="F583" s="420"/>
      <c r="G583" s="208"/>
      <c r="H583" s="209"/>
      <c r="I583" s="193" t="s">
        <v>9</v>
      </c>
      <c r="J583" s="282">
        <f>1545*(100%+20%)</f>
        <v>1854</v>
      </c>
    </row>
    <row r="584" spans="1:10" ht="15">
      <c r="A584" s="418" t="s">
        <v>2126</v>
      </c>
      <c r="B584" s="419"/>
      <c r="C584" s="419"/>
      <c r="D584" s="419"/>
      <c r="E584" s="419"/>
      <c r="F584" s="420"/>
      <c r="G584" s="208"/>
      <c r="H584" s="209"/>
      <c r="I584" s="193" t="s">
        <v>9</v>
      </c>
      <c r="J584" s="282">
        <f>1817*(100%+20%)</f>
        <v>2180.4</v>
      </c>
    </row>
    <row r="585" spans="1:10" ht="15">
      <c r="A585" s="418" t="s">
        <v>2127</v>
      </c>
      <c r="B585" s="419"/>
      <c r="C585" s="419"/>
      <c r="D585" s="419"/>
      <c r="E585" s="419"/>
      <c r="F585" s="420"/>
      <c r="G585" s="208"/>
      <c r="H585" s="209"/>
      <c r="I585" s="193" t="s">
        <v>9</v>
      </c>
      <c r="J585" s="282">
        <f>1370*(100%+20%)</f>
        <v>1644</v>
      </c>
    </row>
    <row r="586" spans="1:10" ht="15">
      <c r="A586" s="418" t="s">
        <v>2128</v>
      </c>
      <c r="B586" s="419"/>
      <c r="C586" s="419"/>
      <c r="D586" s="419"/>
      <c r="E586" s="419"/>
      <c r="F586" s="420"/>
      <c r="G586" s="208"/>
      <c r="H586" s="209"/>
      <c r="I586" s="193" t="s">
        <v>9</v>
      </c>
      <c r="J586" s="282">
        <f>1538*(100%+20%)</f>
        <v>1845.6</v>
      </c>
    </row>
    <row r="587" spans="1:10" ht="15">
      <c r="A587" s="418" t="s">
        <v>2129</v>
      </c>
      <c r="B587" s="419"/>
      <c r="C587" s="419"/>
      <c r="D587" s="419"/>
      <c r="E587" s="419"/>
      <c r="F587" s="420"/>
      <c r="G587" s="208"/>
      <c r="H587" s="209"/>
      <c r="I587" s="193" t="s">
        <v>9</v>
      </c>
      <c r="J587" s="282">
        <f>1248*(100%+20%)</f>
        <v>1497.6</v>
      </c>
    </row>
    <row r="588" spans="1:10" ht="15">
      <c r="A588" s="418" t="s">
        <v>2130</v>
      </c>
      <c r="B588" s="419"/>
      <c r="C588" s="419"/>
      <c r="D588" s="419"/>
      <c r="E588" s="419"/>
      <c r="F588" s="420"/>
      <c r="G588" s="208"/>
      <c r="H588" s="209"/>
      <c r="I588" s="193" t="s">
        <v>9</v>
      </c>
      <c r="J588" s="282">
        <f>1357*(100%+20%)</f>
        <v>1628.3999999999999</v>
      </c>
    </row>
    <row r="589" spans="1:10" ht="15">
      <c r="A589" s="418" t="s">
        <v>2131</v>
      </c>
      <c r="B589" s="419"/>
      <c r="C589" s="419"/>
      <c r="D589" s="419"/>
      <c r="E589" s="419"/>
      <c r="F589" s="420"/>
      <c r="G589" s="208"/>
      <c r="H589" s="209"/>
      <c r="I589" s="193" t="s">
        <v>9</v>
      </c>
      <c r="J589" s="282">
        <f>1178*(100%+20%)</f>
        <v>1413.6</v>
      </c>
    </row>
    <row r="590" spans="1:10" ht="15">
      <c r="A590" s="418" t="s">
        <v>2132</v>
      </c>
      <c r="B590" s="419"/>
      <c r="C590" s="419"/>
      <c r="D590" s="419"/>
      <c r="E590" s="419"/>
      <c r="F590" s="420"/>
      <c r="G590" s="208"/>
      <c r="H590" s="209"/>
      <c r="I590" s="193" t="s">
        <v>9</v>
      </c>
      <c r="J590" s="282">
        <f>1245*(100%+20%)</f>
        <v>1494</v>
      </c>
    </row>
    <row r="591" spans="1:10" ht="15">
      <c r="A591" s="418" t="s">
        <v>2133</v>
      </c>
      <c r="B591" s="419"/>
      <c r="C591" s="419"/>
      <c r="D591" s="419"/>
      <c r="E591" s="419"/>
      <c r="F591" s="420"/>
      <c r="G591" s="208"/>
      <c r="H591" s="209"/>
      <c r="I591" s="193" t="s">
        <v>9</v>
      </c>
      <c r="J591" s="282">
        <f>2198*(100%+20%)</f>
        <v>2637.6</v>
      </c>
    </row>
    <row r="592" spans="1:10" ht="15">
      <c r="A592" s="418" t="s">
        <v>2134</v>
      </c>
      <c r="B592" s="419"/>
      <c r="C592" s="419"/>
      <c r="D592" s="419"/>
      <c r="E592" s="419"/>
      <c r="F592" s="420"/>
      <c r="G592" s="208"/>
      <c r="H592" s="209"/>
      <c r="I592" s="193" t="s">
        <v>9</v>
      </c>
      <c r="J592" s="282">
        <f>2536*(100%+20%)</f>
        <v>3043.2</v>
      </c>
    </row>
    <row r="593" spans="1:10" ht="15">
      <c r="A593" s="418" t="s">
        <v>2135</v>
      </c>
      <c r="B593" s="419"/>
      <c r="C593" s="419"/>
      <c r="D593" s="419"/>
      <c r="E593" s="419"/>
      <c r="F593" s="420"/>
      <c r="G593" s="208"/>
      <c r="H593" s="209"/>
      <c r="I593" s="193" t="s">
        <v>9</v>
      </c>
      <c r="J593" s="282">
        <f>1977*(100%+20%)</f>
        <v>2372.4</v>
      </c>
    </row>
    <row r="594" spans="1:10" ht="15">
      <c r="A594" s="418" t="s">
        <v>2136</v>
      </c>
      <c r="B594" s="419"/>
      <c r="C594" s="419"/>
      <c r="D594" s="419"/>
      <c r="E594" s="419"/>
      <c r="F594" s="420"/>
      <c r="G594" s="208"/>
      <c r="H594" s="209"/>
      <c r="I594" s="193" t="s">
        <v>9</v>
      </c>
      <c r="J594" s="282">
        <f>2187*(100%+20%)</f>
        <v>2624.4</v>
      </c>
    </row>
    <row r="595" spans="1:10" ht="15">
      <c r="A595" s="418" t="s">
        <v>2137</v>
      </c>
      <c r="B595" s="419"/>
      <c r="C595" s="419"/>
      <c r="D595" s="419"/>
      <c r="E595" s="419"/>
      <c r="F595" s="420"/>
      <c r="G595" s="208"/>
      <c r="H595" s="209"/>
      <c r="I595" s="193" t="s">
        <v>9</v>
      </c>
      <c r="J595" s="282">
        <f>1905*(100%+20%)</f>
        <v>2286</v>
      </c>
    </row>
    <row r="596" spans="1:10" ht="15">
      <c r="A596" s="418" t="s">
        <v>2138</v>
      </c>
      <c r="B596" s="419"/>
      <c r="C596" s="419"/>
      <c r="D596" s="419"/>
      <c r="E596" s="419"/>
      <c r="F596" s="420"/>
      <c r="G596" s="208"/>
      <c r="H596" s="209"/>
      <c r="I596" s="193" t="s">
        <v>9</v>
      </c>
      <c r="J596" s="282">
        <f>2176*(100%+20%)</f>
        <v>2611.2</v>
      </c>
    </row>
    <row r="597" spans="1:10" ht="15">
      <c r="A597" s="418" t="s">
        <v>2139</v>
      </c>
      <c r="B597" s="419"/>
      <c r="C597" s="419"/>
      <c r="D597" s="419"/>
      <c r="E597" s="419"/>
      <c r="F597" s="420"/>
      <c r="G597" s="208"/>
      <c r="H597" s="209"/>
      <c r="I597" s="193" t="s">
        <v>9</v>
      </c>
      <c r="J597" s="282">
        <f>1731*(100%+20%)</f>
        <v>2077.2</v>
      </c>
    </row>
    <row r="598" spans="1:10" ht="15">
      <c r="A598" s="418" t="s">
        <v>2140</v>
      </c>
      <c r="B598" s="419"/>
      <c r="C598" s="419"/>
      <c r="D598" s="419"/>
      <c r="E598" s="419"/>
      <c r="F598" s="420"/>
      <c r="G598" s="208"/>
      <c r="H598" s="209"/>
      <c r="I598" s="193" t="s">
        <v>9</v>
      </c>
      <c r="J598" s="282">
        <f>1897*(100%+20%)</f>
        <v>2276.4</v>
      </c>
    </row>
    <row r="599" spans="1:10" ht="15">
      <c r="A599" s="418" t="s">
        <v>2141</v>
      </c>
      <c r="B599" s="419"/>
      <c r="C599" s="419"/>
      <c r="D599" s="419"/>
      <c r="E599" s="419"/>
      <c r="F599" s="420"/>
      <c r="G599" s="208"/>
      <c r="H599" s="209"/>
      <c r="I599" s="193" t="s">
        <v>9</v>
      </c>
      <c r="J599" s="282">
        <f>1833*(100%+20%)</f>
        <v>2199.6</v>
      </c>
    </row>
    <row r="600" spans="1:10" ht="15">
      <c r="A600" s="418" t="s">
        <v>2142</v>
      </c>
      <c r="B600" s="419"/>
      <c r="C600" s="419"/>
      <c r="D600" s="419"/>
      <c r="E600" s="419"/>
      <c r="F600" s="420"/>
      <c r="G600" s="208"/>
      <c r="H600" s="209"/>
      <c r="I600" s="193" t="s">
        <v>9</v>
      </c>
      <c r="J600" s="282">
        <f>2102*(100%+20%)</f>
        <v>2522.4</v>
      </c>
    </row>
    <row r="601" spans="1:10" ht="15">
      <c r="A601" s="418" t="s">
        <v>2143</v>
      </c>
      <c r="B601" s="419"/>
      <c r="C601" s="419"/>
      <c r="D601" s="419"/>
      <c r="E601" s="419"/>
      <c r="F601" s="420"/>
      <c r="G601" s="208"/>
      <c r="H601" s="209"/>
      <c r="I601" s="193" t="s">
        <v>9</v>
      </c>
      <c r="J601" s="282">
        <f>1656*(100%+20%)</f>
        <v>1987.1999999999998</v>
      </c>
    </row>
    <row r="602" spans="1:10" ht="15">
      <c r="A602" s="418" t="s">
        <v>2144</v>
      </c>
      <c r="B602" s="419"/>
      <c r="C602" s="419"/>
      <c r="D602" s="419"/>
      <c r="E602" s="419"/>
      <c r="F602" s="420"/>
      <c r="G602" s="208"/>
      <c r="H602" s="209"/>
      <c r="I602" s="193" t="s">
        <v>9</v>
      </c>
      <c r="J602" s="282">
        <f>1822*(100%+20%)</f>
        <v>2186.4</v>
      </c>
    </row>
    <row r="603" spans="1:10" ht="15">
      <c r="A603" s="418" t="s">
        <v>2145</v>
      </c>
      <c r="B603" s="419"/>
      <c r="C603" s="419"/>
      <c r="D603" s="419"/>
      <c r="E603" s="419"/>
      <c r="F603" s="420"/>
      <c r="G603" s="208"/>
      <c r="H603" s="209"/>
      <c r="I603" s="193" t="s">
        <v>9</v>
      </c>
      <c r="J603" s="282">
        <f>1595*(100%+20%)</f>
        <v>1914</v>
      </c>
    </row>
    <row r="604" spans="1:10" ht="15">
      <c r="A604" s="418" t="s">
        <v>2146</v>
      </c>
      <c r="B604" s="419"/>
      <c r="C604" s="419"/>
      <c r="D604" s="419"/>
      <c r="E604" s="419"/>
      <c r="F604" s="420"/>
      <c r="G604" s="208"/>
      <c r="H604" s="209"/>
      <c r="I604" s="193" t="s">
        <v>9</v>
      </c>
      <c r="J604" s="282">
        <f>1814*(100%+20%)</f>
        <v>2176.7999999999997</v>
      </c>
    </row>
    <row r="605" spans="1:10" ht="15">
      <c r="A605" s="418" t="s">
        <v>2147</v>
      </c>
      <c r="B605" s="419"/>
      <c r="C605" s="419"/>
      <c r="D605" s="419"/>
      <c r="E605" s="419"/>
      <c r="F605" s="420"/>
      <c r="G605" s="208"/>
      <c r="H605" s="209"/>
      <c r="I605" s="193" t="s">
        <v>9</v>
      </c>
      <c r="J605" s="282">
        <f>1456*(100%+20%)</f>
        <v>1747.2</v>
      </c>
    </row>
    <row r="606" spans="1:10" ht="15">
      <c r="A606" s="418" t="s">
        <v>2148</v>
      </c>
      <c r="B606" s="419"/>
      <c r="C606" s="419"/>
      <c r="D606" s="419"/>
      <c r="E606" s="419"/>
      <c r="F606" s="420"/>
      <c r="G606" s="208"/>
      <c r="H606" s="209"/>
      <c r="I606" s="193" t="s">
        <v>9</v>
      </c>
      <c r="J606" s="282">
        <f>1589*(100%+20%)</f>
        <v>1906.8</v>
      </c>
    </row>
    <row r="607" spans="1:10" ht="15">
      <c r="A607" s="418" t="s">
        <v>2149</v>
      </c>
      <c r="B607" s="419"/>
      <c r="C607" s="419"/>
      <c r="D607" s="419"/>
      <c r="E607" s="419"/>
      <c r="F607" s="420"/>
      <c r="G607" s="208"/>
      <c r="H607" s="209"/>
      <c r="I607" s="193" t="s">
        <v>9</v>
      </c>
      <c r="J607" s="282">
        <f>820*(100%+20%)</f>
        <v>984</v>
      </c>
    </row>
    <row r="608" spans="1:10" ht="15">
      <c r="A608" s="418" t="s">
        <v>2150</v>
      </c>
      <c r="B608" s="419"/>
      <c r="C608" s="419"/>
      <c r="D608" s="419"/>
      <c r="E608" s="419"/>
      <c r="F608" s="420"/>
      <c r="G608" s="208"/>
      <c r="H608" s="209"/>
      <c r="I608" s="193" t="s">
        <v>9</v>
      </c>
      <c r="J608" s="282">
        <f>847*(100%+20%)</f>
        <v>1016.4</v>
      </c>
    </row>
    <row r="609" spans="1:10" ht="15">
      <c r="A609" s="418" t="s">
        <v>2151</v>
      </c>
      <c r="B609" s="419"/>
      <c r="C609" s="419"/>
      <c r="D609" s="419"/>
      <c r="E609" s="419"/>
      <c r="F609" s="420"/>
      <c r="G609" s="208"/>
      <c r="H609" s="209"/>
      <c r="I609" s="193" t="s">
        <v>9</v>
      </c>
      <c r="J609" s="282">
        <f>806*(100%+20%)</f>
        <v>967.1999999999999</v>
      </c>
    </row>
    <row r="610" spans="1:10" ht="15">
      <c r="A610" s="418" t="s">
        <v>2152</v>
      </c>
      <c r="B610" s="419"/>
      <c r="C610" s="419"/>
      <c r="D610" s="419"/>
      <c r="E610" s="419"/>
      <c r="F610" s="420"/>
      <c r="G610" s="208"/>
      <c r="H610" s="209"/>
      <c r="I610" s="193" t="s">
        <v>9</v>
      </c>
      <c r="J610" s="282">
        <f>820*(100%+20%)</f>
        <v>984</v>
      </c>
    </row>
    <row r="611" spans="1:10" ht="15">
      <c r="A611" s="418" t="s">
        <v>2153</v>
      </c>
      <c r="B611" s="419"/>
      <c r="C611" s="419"/>
      <c r="D611" s="419"/>
      <c r="E611" s="419"/>
      <c r="F611" s="420"/>
      <c r="G611" s="208"/>
      <c r="H611" s="209"/>
      <c r="I611" s="193" t="s">
        <v>9</v>
      </c>
      <c r="J611" s="282">
        <f>8956*(100%+20%)</f>
        <v>10747.199999999999</v>
      </c>
    </row>
    <row r="612" spans="1:10" ht="15">
      <c r="A612" s="418" t="s">
        <v>2154</v>
      </c>
      <c r="B612" s="419"/>
      <c r="C612" s="419"/>
      <c r="D612" s="419"/>
      <c r="E612" s="419"/>
      <c r="F612" s="420"/>
      <c r="G612" s="208"/>
      <c r="H612" s="209"/>
      <c r="I612" s="193" t="s">
        <v>9</v>
      </c>
      <c r="J612" s="282">
        <f>9715*(100%+20%)</f>
        <v>11658</v>
      </c>
    </row>
    <row r="613" spans="1:10" ht="15">
      <c r="A613" s="418" t="s">
        <v>2155</v>
      </c>
      <c r="B613" s="419"/>
      <c r="C613" s="419"/>
      <c r="D613" s="419"/>
      <c r="E613" s="419"/>
      <c r="F613" s="420"/>
      <c r="G613" s="208"/>
      <c r="H613" s="209"/>
      <c r="I613" s="193" t="s">
        <v>9</v>
      </c>
      <c r="J613" s="282">
        <f>8466*(100%+20%)</f>
        <v>10159.199999999999</v>
      </c>
    </row>
    <row r="614" spans="1:10" ht="15">
      <c r="A614" s="418" t="s">
        <v>2156</v>
      </c>
      <c r="B614" s="419"/>
      <c r="C614" s="419"/>
      <c r="D614" s="419"/>
      <c r="E614" s="419"/>
      <c r="F614" s="420"/>
      <c r="G614" s="208"/>
      <c r="H614" s="209"/>
      <c r="I614" s="193" t="s">
        <v>9</v>
      </c>
      <c r="J614" s="282">
        <f>8931*(100%+20%)</f>
        <v>10717.199999999999</v>
      </c>
    </row>
    <row r="615" spans="1:10" ht="15">
      <c r="A615" s="418" t="s">
        <v>2157</v>
      </c>
      <c r="B615" s="419"/>
      <c r="C615" s="419"/>
      <c r="D615" s="419"/>
      <c r="E615" s="419"/>
      <c r="F615" s="420"/>
      <c r="G615" s="208"/>
      <c r="H615" s="209"/>
      <c r="I615" s="193" t="s">
        <v>9</v>
      </c>
      <c r="J615" s="282">
        <f>1905*(100%+20%)</f>
        <v>2286</v>
      </c>
    </row>
    <row r="616" spans="1:10" ht="15">
      <c r="A616" s="418" t="s">
        <v>2158</v>
      </c>
      <c r="B616" s="419"/>
      <c r="C616" s="419"/>
      <c r="D616" s="419"/>
      <c r="E616" s="419"/>
      <c r="F616" s="420"/>
      <c r="G616" s="208"/>
      <c r="H616" s="209"/>
      <c r="I616" s="193" t="s">
        <v>9</v>
      </c>
      <c r="J616" s="282">
        <f>2242*(100%+20%)</f>
        <v>2690.4</v>
      </c>
    </row>
    <row r="617" spans="1:10" ht="15">
      <c r="A617" s="418" t="s">
        <v>2159</v>
      </c>
      <c r="B617" s="419"/>
      <c r="C617" s="419"/>
      <c r="D617" s="419"/>
      <c r="E617" s="419"/>
      <c r="F617" s="420"/>
      <c r="G617" s="208"/>
      <c r="H617" s="209"/>
      <c r="I617" s="193" t="s">
        <v>9</v>
      </c>
      <c r="J617" s="282">
        <f>1686*(100%+20%)</f>
        <v>2023.1999999999998</v>
      </c>
    </row>
    <row r="618" spans="1:10" ht="15">
      <c r="A618" s="418" t="s">
        <v>2160</v>
      </c>
      <c r="B618" s="419"/>
      <c r="C618" s="419"/>
      <c r="D618" s="419"/>
      <c r="E618" s="419"/>
      <c r="F618" s="420"/>
      <c r="G618" s="208"/>
      <c r="H618" s="209"/>
      <c r="I618" s="193" t="s">
        <v>9</v>
      </c>
      <c r="J618" s="282">
        <f>1894*(100%+20%)</f>
        <v>2272.7999999999997</v>
      </c>
    </row>
    <row r="619" spans="1:10" ht="15">
      <c r="A619" s="418" t="s">
        <v>2161</v>
      </c>
      <c r="B619" s="419"/>
      <c r="C619" s="419"/>
      <c r="D619" s="419"/>
      <c r="E619" s="419"/>
      <c r="F619" s="420"/>
      <c r="G619" s="208"/>
      <c r="H619" s="209"/>
      <c r="I619" s="193" t="s">
        <v>9</v>
      </c>
      <c r="J619" s="282">
        <f>1611*(100%+20%)</f>
        <v>1933.1999999999998</v>
      </c>
    </row>
    <row r="620" spans="1:10" ht="15">
      <c r="A620" s="418" t="s">
        <v>2162</v>
      </c>
      <c r="B620" s="419"/>
      <c r="C620" s="419"/>
      <c r="D620" s="419"/>
      <c r="E620" s="419"/>
      <c r="F620" s="420"/>
      <c r="G620" s="208"/>
      <c r="H620" s="209"/>
      <c r="I620" s="193" t="s">
        <v>9</v>
      </c>
      <c r="J620" s="282">
        <f>1882*(100%+20%)</f>
        <v>2258.4</v>
      </c>
    </row>
    <row r="621" spans="1:10" ht="15">
      <c r="A621" s="418" t="s">
        <v>2163</v>
      </c>
      <c r="B621" s="419"/>
      <c r="C621" s="419"/>
      <c r="D621" s="419"/>
      <c r="E621" s="419"/>
      <c r="F621" s="420"/>
      <c r="G621" s="208"/>
      <c r="H621" s="209"/>
      <c r="I621" s="193" t="s">
        <v>9</v>
      </c>
      <c r="J621" s="282">
        <f>1434*(100%+20%)</f>
        <v>1720.8</v>
      </c>
    </row>
    <row r="622" spans="1:10" ht="15">
      <c r="A622" s="418" t="s">
        <v>2164</v>
      </c>
      <c r="B622" s="419"/>
      <c r="C622" s="419"/>
      <c r="D622" s="419"/>
      <c r="E622" s="419"/>
      <c r="F622" s="420"/>
      <c r="G622" s="208"/>
      <c r="H622" s="209"/>
      <c r="I622" s="193" t="s">
        <v>9</v>
      </c>
      <c r="J622" s="282">
        <f>1603*(100%+20%)</f>
        <v>1923.6</v>
      </c>
    </row>
    <row r="623" spans="1:10" ht="15">
      <c r="A623" s="418" t="s">
        <v>2165</v>
      </c>
      <c r="B623" s="419"/>
      <c r="C623" s="419"/>
      <c r="D623" s="419"/>
      <c r="E623" s="419"/>
      <c r="F623" s="420"/>
      <c r="G623" s="208"/>
      <c r="H623" s="209"/>
      <c r="I623" s="193" t="s">
        <v>9</v>
      </c>
      <c r="J623" s="282">
        <f>636*(100%+20%)</f>
        <v>763.1999999999999</v>
      </c>
    </row>
    <row r="624" spans="1:10" ht="15">
      <c r="A624" s="418" t="s">
        <v>2166</v>
      </c>
      <c r="B624" s="419"/>
      <c r="C624" s="419"/>
      <c r="D624" s="419"/>
      <c r="E624" s="419"/>
      <c r="F624" s="420"/>
      <c r="G624" s="208"/>
      <c r="H624" s="209"/>
      <c r="I624" s="193" t="s">
        <v>9</v>
      </c>
      <c r="J624" s="282">
        <f>745*(100%+20%)</f>
        <v>894</v>
      </c>
    </row>
    <row r="625" spans="1:10" ht="15">
      <c r="A625" s="418" t="s">
        <v>2167</v>
      </c>
      <c r="B625" s="419"/>
      <c r="C625" s="419"/>
      <c r="D625" s="419"/>
      <c r="E625" s="419"/>
      <c r="F625" s="420"/>
      <c r="G625" s="208"/>
      <c r="H625" s="209"/>
      <c r="I625" s="193" t="s">
        <v>9</v>
      </c>
      <c r="J625" s="282">
        <f>565*(100%+20%)</f>
        <v>678</v>
      </c>
    </row>
    <row r="626" spans="1:10" ht="15">
      <c r="A626" s="418" t="s">
        <v>2168</v>
      </c>
      <c r="B626" s="419"/>
      <c r="C626" s="419"/>
      <c r="D626" s="419"/>
      <c r="E626" s="419"/>
      <c r="F626" s="420"/>
      <c r="G626" s="208"/>
      <c r="H626" s="209"/>
      <c r="I626" s="193" t="s">
        <v>9</v>
      </c>
      <c r="J626" s="282">
        <f>632*(100%+20%)</f>
        <v>758.4</v>
      </c>
    </row>
    <row r="627" spans="1:10" ht="15">
      <c r="A627" s="418" t="s">
        <v>2169</v>
      </c>
      <c r="B627" s="419"/>
      <c r="C627" s="419"/>
      <c r="D627" s="419"/>
      <c r="E627" s="419"/>
      <c r="F627" s="420"/>
      <c r="G627" s="208"/>
      <c r="H627" s="209"/>
      <c r="I627" s="193" t="s">
        <v>9</v>
      </c>
      <c r="J627" s="282">
        <f>2823*(100%+20%)</f>
        <v>3387.6</v>
      </c>
    </row>
    <row r="628" spans="1:10" ht="15">
      <c r="A628" s="418" t="s">
        <v>2170</v>
      </c>
      <c r="B628" s="419"/>
      <c r="C628" s="419"/>
      <c r="D628" s="419"/>
      <c r="E628" s="419"/>
      <c r="F628" s="420"/>
      <c r="G628" s="208"/>
      <c r="H628" s="209"/>
      <c r="I628" s="193" t="s">
        <v>9</v>
      </c>
      <c r="J628" s="282">
        <f>3161*(100%+20%)</f>
        <v>3793.2</v>
      </c>
    </row>
    <row r="629" spans="1:10" ht="15">
      <c r="A629" s="418" t="s">
        <v>2171</v>
      </c>
      <c r="B629" s="419"/>
      <c r="C629" s="419"/>
      <c r="D629" s="419"/>
      <c r="E629" s="419"/>
      <c r="F629" s="420"/>
      <c r="G629" s="208"/>
      <c r="H629" s="209"/>
      <c r="I629" s="193" t="s">
        <v>9</v>
      </c>
      <c r="J629" s="282">
        <f>2606*(100%+20%)</f>
        <v>3127.2</v>
      </c>
    </row>
    <row r="630" spans="1:10" ht="15">
      <c r="A630" s="418" t="s">
        <v>2172</v>
      </c>
      <c r="B630" s="419"/>
      <c r="C630" s="419"/>
      <c r="D630" s="419"/>
      <c r="E630" s="419"/>
      <c r="F630" s="420"/>
      <c r="G630" s="208"/>
      <c r="H630" s="209"/>
      <c r="I630" s="193" t="s">
        <v>9</v>
      </c>
      <c r="J630" s="282">
        <f>2812*(100%+20%)</f>
        <v>3374.4</v>
      </c>
    </row>
    <row r="631" spans="1:10" ht="15">
      <c r="A631" s="418" t="s">
        <v>2173</v>
      </c>
      <c r="B631" s="419"/>
      <c r="C631" s="419"/>
      <c r="D631" s="419"/>
      <c r="E631" s="419"/>
      <c r="F631" s="420"/>
      <c r="G631" s="208"/>
      <c r="H631" s="209"/>
      <c r="I631" s="193" t="s">
        <v>9</v>
      </c>
      <c r="J631" s="282">
        <f>2530*(100%+20%)</f>
        <v>3036</v>
      </c>
    </row>
    <row r="632" spans="1:10" ht="15">
      <c r="A632" s="418" t="s">
        <v>2174</v>
      </c>
      <c r="B632" s="419"/>
      <c r="C632" s="419"/>
      <c r="D632" s="419"/>
      <c r="E632" s="419"/>
      <c r="F632" s="420"/>
      <c r="G632" s="208"/>
      <c r="H632" s="209"/>
      <c r="I632" s="193" t="s">
        <v>9</v>
      </c>
      <c r="J632" s="282">
        <f>2801*(100%+20%)</f>
        <v>3361.2</v>
      </c>
    </row>
    <row r="633" spans="1:10" ht="15">
      <c r="A633" s="418" t="s">
        <v>2175</v>
      </c>
      <c r="B633" s="419"/>
      <c r="C633" s="419"/>
      <c r="D633" s="419"/>
      <c r="E633" s="419"/>
      <c r="F633" s="420"/>
      <c r="G633" s="208"/>
      <c r="H633" s="209"/>
      <c r="I633" s="193" t="s">
        <v>9</v>
      </c>
      <c r="J633" s="282">
        <f>2355*(100%+20%)</f>
        <v>2826</v>
      </c>
    </row>
    <row r="634" spans="1:10" ht="15">
      <c r="A634" s="418" t="s">
        <v>2176</v>
      </c>
      <c r="B634" s="419"/>
      <c r="C634" s="419"/>
      <c r="D634" s="419"/>
      <c r="E634" s="419"/>
      <c r="F634" s="420"/>
      <c r="G634" s="208"/>
      <c r="H634" s="209"/>
      <c r="I634" s="193" t="s">
        <v>9</v>
      </c>
      <c r="J634" s="282">
        <f>2522*(100%+20%)</f>
        <v>3026.4</v>
      </c>
    </row>
    <row r="635" spans="1:10" ht="15">
      <c r="A635" s="418" t="s">
        <v>2177</v>
      </c>
      <c r="B635" s="419"/>
      <c r="C635" s="419"/>
      <c r="D635" s="419"/>
      <c r="E635" s="419"/>
      <c r="F635" s="420"/>
      <c r="G635" s="208"/>
      <c r="H635" s="209"/>
      <c r="I635" s="193" t="s">
        <v>9</v>
      </c>
      <c r="J635" s="282">
        <f>2823*(100%+20%)</f>
        <v>3387.6</v>
      </c>
    </row>
    <row r="636" spans="1:10" ht="15">
      <c r="A636" s="418" t="s">
        <v>2178</v>
      </c>
      <c r="B636" s="419"/>
      <c r="C636" s="419"/>
      <c r="D636" s="419"/>
      <c r="E636" s="419"/>
      <c r="F636" s="420"/>
      <c r="G636" s="208"/>
      <c r="H636" s="209"/>
      <c r="I636" s="193" t="s">
        <v>9</v>
      </c>
      <c r="J636" s="282">
        <f>3161*(100%+20%)</f>
        <v>3793.2</v>
      </c>
    </row>
    <row r="637" spans="1:10" ht="15">
      <c r="A637" s="418" t="s">
        <v>2179</v>
      </c>
      <c r="B637" s="419"/>
      <c r="C637" s="419"/>
      <c r="D637" s="419"/>
      <c r="E637" s="419"/>
      <c r="F637" s="420"/>
      <c r="G637" s="208"/>
      <c r="H637" s="209"/>
      <c r="I637" s="193" t="s">
        <v>9</v>
      </c>
      <c r="J637" s="282">
        <f>2606*(100%+20%)</f>
        <v>3127.2</v>
      </c>
    </row>
    <row r="638" spans="1:10" ht="15">
      <c r="A638" s="418" t="s">
        <v>2180</v>
      </c>
      <c r="B638" s="419"/>
      <c r="C638" s="419"/>
      <c r="D638" s="419"/>
      <c r="E638" s="419"/>
      <c r="F638" s="420"/>
      <c r="G638" s="208"/>
      <c r="H638" s="209"/>
      <c r="I638" s="193" t="s">
        <v>9</v>
      </c>
      <c r="J638" s="282">
        <f>2812*(100%+20%)</f>
        <v>3374.4</v>
      </c>
    </row>
    <row r="639" spans="1:10" ht="15">
      <c r="A639" s="418" t="s">
        <v>2181</v>
      </c>
      <c r="B639" s="419"/>
      <c r="C639" s="419"/>
      <c r="D639" s="419"/>
      <c r="E639" s="419"/>
      <c r="F639" s="420"/>
      <c r="G639" s="208"/>
      <c r="H639" s="209"/>
      <c r="I639" s="193" t="s">
        <v>9</v>
      </c>
      <c r="J639" s="282">
        <f>2530*(100%+20%)</f>
        <v>3036</v>
      </c>
    </row>
    <row r="640" spans="1:10" ht="15">
      <c r="A640" s="418" t="s">
        <v>2182</v>
      </c>
      <c r="B640" s="419"/>
      <c r="C640" s="419"/>
      <c r="D640" s="419"/>
      <c r="E640" s="419"/>
      <c r="F640" s="420"/>
      <c r="G640" s="208"/>
      <c r="H640" s="209"/>
      <c r="I640" s="193" t="s">
        <v>9</v>
      </c>
      <c r="J640" s="282">
        <f>2801*(100%+20%)</f>
        <v>3361.2</v>
      </c>
    </row>
    <row r="641" spans="1:10" ht="15">
      <c r="A641" s="418" t="s">
        <v>2183</v>
      </c>
      <c r="B641" s="419"/>
      <c r="C641" s="419"/>
      <c r="D641" s="419"/>
      <c r="E641" s="419"/>
      <c r="F641" s="420"/>
      <c r="G641" s="208"/>
      <c r="H641" s="209"/>
      <c r="I641" s="193" t="s">
        <v>9</v>
      </c>
      <c r="J641" s="282">
        <f>2355*(100%+20%)</f>
        <v>2826</v>
      </c>
    </row>
    <row r="642" spans="1:10" ht="15.75" thickBot="1">
      <c r="A642" s="428" t="s">
        <v>2184</v>
      </c>
      <c r="B642" s="429"/>
      <c r="C642" s="429"/>
      <c r="D642" s="429"/>
      <c r="E642" s="429"/>
      <c r="F642" s="448"/>
      <c r="G642" s="213"/>
      <c r="H642" s="214"/>
      <c r="I642" s="212" t="s">
        <v>9</v>
      </c>
      <c r="J642" s="284">
        <f>2522*(100%+20%)</f>
        <v>3026.4</v>
      </c>
    </row>
    <row r="645" spans="1:10" ht="15.75" customHeight="1">
      <c r="A645" s="377" t="s">
        <v>2234</v>
      </c>
      <c r="B645" s="377"/>
      <c r="C645" s="377"/>
      <c r="D645" s="377"/>
      <c r="E645" s="377"/>
      <c r="F645" s="377"/>
      <c r="G645" s="377"/>
      <c r="H645" s="377"/>
      <c r="I645" s="377"/>
      <c r="J645" s="377"/>
    </row>
  </sheetData>
  <sheetProtection sheet="1"/>
  <mergeCells count="642">
    <mergeCell ref="A645:J645"/>
    <mergeCell ref="A114:G114"/>
    <mergeCell ref="A623:F623"/>
    <mergeCell ref="A622:F622"/>
    <mergeCell ref="A621:F621"/>
    <mergeCell ref="A620:F620"/>
    <mergeCell ref="A619:F619"/>
    <mergeCell ref="A618:F618"/>
    <mergeCell ref="A590:F590"/>
    <mergeCell ref="A589:F589"/>
    <mergeCell ref="A588:F588"/>
    <mergeCell ref="A629:F629"/>
    <mergeCell ref="A628:F628"/>
    <mergeCell ref="A627:F627"/>
    <mergeCell ref="A626:F626"/>
    <mergeCell ref="A625:F625"/>
    <mergeCell ref="A624:F624"/>
    <mergeCell ref="A591:F591"/>
    <mergeCell ref="A602:F602"/>
    <mergeCell ref="A601:F601"/>
    <mergeCell ref="A635:F635"/>
    <mergeCell ref="A634:F634"/>
    <mergeCell ref="A633:F633"/>
    <mergeCell ref="A632:F632"/>
    <mergeCell ref="A631:F631"/>
    <mergeCell ref="A630:F630"/>
    <mergeCell ref="A642:F642"/>
    <mergeCell ref="A641:F641"/>
    <mergeCell ref="A640:F640"/>
    <mergeCell ref="A639:F639"/>
    <mergeCell ref="A638:F638"/>
    <mergeCell ref="A637:F637"/>
    <mergeCell ref="A636:F636"/>
    <mergeCell ref="A596:F596"/>
    <mergeCell ref="A595:F595"/>
    <mergeCell ref="A594:F594"/>
    <mergeCell ref="A593:F593"/>
    <mergeCell ref="A592:F592"/>
    <mergeCell ref="A608:F608"/>
    <mergeCell ref="A607:F607"/>
    <mergeCell ref="A606:F606"/>
    <mergeCell ref="A605:F605"/>
    <mergeCell ref="A600:F600"/>
    <mergeCell ref="A599:F599"/>
    <mergeCell ref="A598:F598"/>
    <mergeCell ref="A597:F597"/>
    <mergeCell ref="A604:F604"/>
    <mergeCell ref="A603:F603"/>
    <mergeCell ref="A564:F564"/>
    <mergeCell ref="A617:F617"/>
    <mergeCell ref="A616:F616"/>
    <mergeCell ref="A615:F615"/>
    <mergeCell ref="A614:F614"/>
    <mergeCell ref="A613:F613"/>
    <mergeCell ref="A612:F612"/>
    <mergeCell ref="A611:F611"/>
    <mergeCell ref="A610:F610"/>
    <mergeCell ref="A609:F609"/>
    <mergeCell ref="A568:F568"/>
    <mergeCell ref="A567:F567"/>
    <mergeCell ref="A582:F582"/>
    <mergeCell ref="A581:F581"/>
    <mergeCell ref="A580:F580"/>
    <mergeCell ref="A579:F579"/>
    <mergeCell ref="A578:F578"/>
    <mergeCell ref="A577:F577"/>
    <mergeCell ref="A566:F566"/>
    <mergeCell ref="A565:F565"/>
    <mergeCell ref="A576:F576"/>
    <mergeCell ref="A575:F575"/>
    <mergeCell ref="A574:F574"/>
    <mergeCell ref="A573:F573"/>
    <mergeCell ref="A572:F572"/>
    <mergeCell ref="A571:F571"/>
    <mergeCell ref="A570:F570"/>
    <mergeCell ref="A569:F569"/>
    <mergeCell ref="A538:F538"/>
    <mergeCell ref="A537:F537"/>
    <mergeCell ref="A536:F536"/>
    <mergeCell ref="A535:F535"/>
    <mergeCell ref="A540:F540"/>
    <mergeCell ref="A539:F539"/>
    <mergeCell ref="A550:F550"/>
    <mergeCell ref="A549:F549"/>
    <mergeCell ref="A534:F534"/>
    <mergeCell ref="A587:F587"/>
    <mergeCell ref="A586:F586"/>
    <mergeCell ref="A585:F585"/>
    <mergeCell ref="A584:F584"/>
    <mergeCell ref="A583:F583"/>
    <mergeCell ref="A544:F544"/>
    <mergeCell ref="A543:F543"/>
    <mergeCell ref="A542:F542"/>
    <mergeCell ref="A541:F541"/>
    <mergeCell ref="A548:F548"/>
    <mergeCell ref="A547:F547"/>
    <mergeCell ref="A546:F546"/>
    <mergeCell ref="A545:F545"/>
    <mergeCell ref="A556:F556"/>
    <mergeCell ref="A555:F555"/>
    <mergeCell ref="A554:F554"/>
    <mergeCell ref="A553:F553"/>
    <mergeCell ref="A552:F552"/>
    <mergeCell ref="A551:F551"/>
    <mergeCell ref="A509:F509"/>
    <mergeCell ref="A508:F508"/>
    <mergeCell ref="A507:F507"/>
    <mergeCell ref="A563:F563"/>
    <mergeCell ref="A562:F562"/>
    <mergeCell ref="A561:F561"/>
    <mergeCell ref="A560:F560"/>
    <mergeCell ref="A559:F559"/>
    <mergeCell ref="A558:F558"/>
    <mergeCell ref="A557:F557"/>
    <mergeCell ref="A515:F515"/>
    <mergeCell ref="A514:F514"/>
    <mergeCell ref="A513:F513"/>
    <mergeCell ref="A512:F512"/>
    <mergeCell ref="A511:F511"/>
    <mergeCell ref="A510:F510"/>
    <mergeCell ref="A521:F521"/>
    <mergeCell ref="A520:F520"/>
    <mergeCell ref="A519:F519"/>
    <mergeCell ref="A518:F518"/>
    <mergeCell ref="A517:F517"/>
    <mergeCell ref="A516:F516"/>
    <mergeCell ref="A527:F527"/>
    <mergeCell ref="A526:F526"/>
    <mergeCell ref="A525:F525"/>
    <mergeCell ref="A524:F524"/>
    <mergeCell ref="A523:F523"/>
    <mergeCell ref="A522:F522"/>
    <mergeCell ref="A533:F533"/>
    <mergeCell ref="A532:F532"/>
    <mergeCell ref="A531:F531"/>
    <mergeCell ref="A530:F530"/>
    <mergeCell ref="A529:F529"/>
    <mergeCell ref="A528:F528"/>
    <mergeCell ref="A482:F482"/>
    <mergeCell ref="A481:F481"/>
    <mergeCell ref="A480:F480"/>
    <mergeCell ref="A479:F479"/>
    <mergeCell ref="A478:F478"/>
    <mergeCell ref="A477:F477"/>
    <mergeCell ref="A488:F488"/>
    <mergeCell ref="A487:F487"/>
    <mergeCell ref="A486:F486"/>
    <mergeCell ref="A485:F485"/>
    <mergeCell ref="A484:F484"/>
    <mergeCell ref="A483:F483"/>
    <mergeCell ref="A494:F494"/>
    <mergeCell ref="A493:F493"/>
    <mergeCell ref="A492:F492"/>
    <mergeCell ref="A491:F491"/>
    <mergeCell ref="A490:F490"/>
    <mergeCell ref="A489:F489"/>
    <mergeCell ref="A500:F500"/>
    <mergeCell ref="A499:F499"/>
    <mergeCell ref="A498:F498"/>
    <mergeCell ref="A497:F497"/>
    <mergeCell ref="A496:F496"/>
    <mergeCell ref="A495:F495"/>
    <mergeCell ref="A450:F450"/>
    <mergeCell ref="A449:F449"/>
    <mergeCell ref="A448:F448"/>
    <mergeCell ref="A447:F447"/>
    <mergeCell ref="A506:F506"/>
    <mergeCell ref="A505:F505"/>
    <mergeCell ref="A504:F504"/>
    <mergeCell ref="A503:F503"/>
    <mergeCell ref="A502:F502"/>
    <mergeCell ref="A501:F501"/>
    <mergeCell ref="A456:F456"/>
    <mergeCell ref="A455:F455"/>
    <mergeCell ref="A454:F454"/>
    <mergeCell ref="A453:F453"/>
    <mergeCell ref="A452:F452"/>
    <mergeCell ref="A451:F451"/>
    <mergeCell ref="A462:F462"/>
    <mergeCell ref="A461:F461"/>
    <mergeCell ref="A460:F460"/>
    <mergeCell ref="A459:F459"/>
    <mergeCell ref="A458:F458"/>
    <mergeCell ref="A457:F457"/>
    <mergeCell ref="A468:F468"/>
    <mergeCell ref="A467:F467"/>
    <mergeCell ref="A466:F466"/>
    <mergeCell ref="A465:F465"/>
    <mergeCell ref="A464:F464"/>
    <mergeCell ref="A463:F463"/>
    <mergeCell ref="A421:F421"/>
    <mergeCell ref="A420:F420"/>
    <mergeCell ref="A476:F476"/>
    <mergeCell ref="A475:F475"/>
    <mergeCell ref="A474:F474"/>
    <mergeCell ref="A473:F473"/>
    <mergeCell ref="A472:F472"/>
    <mergeCell ref="A471:F471"/>
    <mergeCell ref="A470:F470"/>
    <mergeCell ref="A469:F469"/>
    <mergeCell ref="A427:F427"/>
    <mergeCell ref="A426:F426"/>
    <mergeCell ref="A425:F425"/>
    <mergeCell ref="A424:F424"/>
    <mergeCell ref="A423:F423"/>
    <mergeCell ref="A422:F422"/>
    <mergeCell ref="A433:F433"/>
    <mergeCell ref="A432:F432"/>
    <mergeCell ref="A431:F431"/>
    <mergeCell ref="A430:F430"/>
    <mergeCell ref="A429:F429"/>
    <mergeCell ref="A428:F428"/>
    <mergeCell ref="A439:F439"/>
    <mergeCell ref="A438:F438"/>
    <mergeCell ref="A437:F437"/>
    <mergeCell ref="A436:F436"/>
    <mergeCell ref="A435:F435"/>
    <mergeCell ref="A434:F434"/>
    <mergeCell ref="A395:F395"/>
    <mergeCell ref="A394:F394"/>
    <mergeCell ref="A393:F393"/>
    <mergeCell ref="A446:F446"/>
    <mergeCell ref="A445:F445"/>
    <mergeCell ref="A444:F444"/>
    <mergeCell ref="A443:F443"/>
    <mergeCell ref="A442:F442"/>
    <mergeCell ref="A441:F441"/>
    <mergeCell ref="A440:F440"/>
    <mergeCell ref="A401:F401"/>
    <mergeCell ref="A400:F400"/>
    <mergeCell ref="A399:F399"/>
    <mergeCell ref="A398:F398"/>
    <mergeCell ref="A397:F397"/>
    <mergeCell ref="A396:F396"/>
    <mergeCell ref="A407:F407"/>
    <mergeCell ref="A406:F406"/>
    <mergeCell ref="A405:F405"/>
    <mergeCell ref="A404:F404"/>
    <mergeCell ref="A403:F403"/>
    <mergeCell ref="A402:F402"/>
    <mergeCell ref="A413:F413"/>
    <mergeCell ref="A412:F412"/>
    <mergeCell ref="A411:F411"/>
    <mergeCell ref="A410:F410"/>
    <mergeCell ref="A409:F409"/>
    <mergeCell ref="A408:F408"/>
    <mergeCell ref="A419:F419"/>
    <mergeCell ref="A418:F418"/>
    <mergeCell ref="A417:F417"/>
    <mergeCell ref="A416:F416"/>
    <mergeCell ref="A415:F415"/>
    <mergeCell ref="A414:F414"/>
    <mergeCell ref="A2:J2"/>
    <mergeCell ref="A3:J3"/>
    <mergeCell ref="A4:J4"/>
    <mergeCell ref="A23:F23"/>
    <mergeCell ref="A63:F63"/>
    <mergeCell ref="A62:F62"/>
    <mergeCell ref="A61:F61"/>
    <mergeCell ref="A60:F60"/>
    <mergeCell ref="A59:F59"/>
    <mergeCell ref="A58:F58"/>
    <mergeCell ref="A29:F29"/>
    <mergeCell ref="A28:F28"/>
    <mergeCell ref="A27:F27"/>
    <mergeCell ref="A26:F26"/>
    <mergeCell ref="A25:F25"/>
    <mergeCell ref="A24:F24"/>
    <mergeCell ref="A35:F35"/>
    <mergeCell ref="A34:F34"/>
    <mergeCell ref="A33:F33"/>
    <mergeCell ref="A32:F32"/>
    <mergeCell ref="A31:F31"/>
    <mergeCell ref="A30:F30"/>
    <mergeCell ref="A12:H12"/>
    <mergeCell ref="A13:H13"/>
    <mergeCell ref="A14:H14"/>
    <mergeCell ref="A15:H15"/>
    <mergeCell ref="A16:H16"/>
    <mergeCell ref="A17:H17"/>
    <mergeCell ref="A6:H6"/>
    <mergeCell ref="A7:H7"/>
    <mergeCell ref="A8:H8"/>
    <mergeCell ref="A9:H9"/>
    <mergeCell ref="A10:H10"/>
    <mergeCell ref="A11:H11"/>
    <mergeCell ref="A18:H18"/>
    <mergeCell ref="A19:H19"/>
    <mergeCell ref="A20:H20"/>
    <mergeCell ref="A21:J21"/>
    <mergeCell ref="A113:J113"/>
    <mergeCell ref="A5:G5"/>
    <mergeCell ref="A22:G22"/>
    <mergeCell ref="A38:F38"/>
    <mergeCell ref="A37:F37"/>
    <mergeCell ref="A36:F36"/>
    <mergeCell ref="A57:F57"/>
    <mergeCell ref="A56:F56"/>
    <mergeCell ref="A55:F55"/>
    <mergeCell ref="A54:F54"/>
    <mergeCell ref="A53:F53"/>
    <mergeCell ref="A52:F52"/>
    <mergeCell ref="A51:F51"/>
    <mergeCell ref="A50:F50"/>
    <mergeCell ref="A49:F49"/>
    <mergeCell ref="A48:F48"/>
    <mergeCell ref="A47:F47"/>
    <mergeCell ref="A46:F46"/>
    <mergeCell ref="A45:F45"/>
    <mergeCell ref="A44:F44"/>
    <mergeCell ref="A43:F43"/>
    <mergeCell ref="A42:F42"/>
    <mergeCell ref="A41:F41"/>
    <mergeCell ref="A40:F40"/>
    <mergeCell ref="A39:F39"/>
    <mergeCell ref="A76:F76"/>
    <mergeCell ref="A75:F75"/>
    <mergeCell ref="A74:F74"/>
    <mergeCell ref="A73:F73"/>
    <mergeCell ref="A72:F72"/>
    <mergeCell ref="A71:F71"/>
    <mergeCell ref="A70:F70"/>
    <mergeCell ref="A69:F69"/>
    <mergeCell ref="A68:F68"/>
    <mergeCell ref="A67:F67"/>
    <mergeCell ref="A66:F66"/>
    <mergeCell ref="A65:F65"/>
    <mergeCell ref="A64:F64"/>
    <mergeCell ref="A105:F105"/>
    <mergeCell ref="A104:F104"/>
    <mergeCell ref="A103:F103"/>
    <mergeCell ref="A102:F102"/>
    <mergeCell ref="A101:F101"/>
    <mergeCell ref="A100:F100"/>
    <mergeCell ref="A99:F99"/>
    <mergeCell ref="A98:F98"/>
    <mergeCell ref="A97:F97"/>
    <mergeCell ref="A96:F96"/>
    <mergeCell ref="A95:F95"/>
    <mergeCell ref="A94:F94"/>
    <mergeCell ref="A93:F93"/>
    <mergeCell ref="A92:F92"/>
    <mergeCell ref="A91:F91"/>
    <mergeCell ref="A90:F90"/>
    <mergeCell ref="A89:F89"/>
    <mergeCell ref="A88:F88"/>
    <mergeCell ref="A87:F87"/>
    <mergeCell ref="A86:F86"/>
    <mergeCell ref="A85:F85"/>
    <mergeCell ref="A84:F84"/>
    <mergeCell ref="A83:F83"/>
    <mergeCell ref="A82:F82"/>
    <mergeCell ref="A81:F81"/>
    <mergeCell ref="A80:F80"/>
    <mergeCell ref="A79:F79"/>
    <mergeCell ref="A78:F78"/>
    <mergeCell ref="A77:F77"/>
    <mergeCell ref="A141:F141"/>
    <mergeCell ref="A140:F140"/>
    <mergeCell ref="A139:F139"/>
    <mergeCell ref="A138:F138"/>
    <mergeCell ref="A137:F137"/>
    <mergeCell ref="A136:F136"/>
    <mergeCell ref="A135:F135"/>
    <mergeCell ref="A134:F134"/>
    <mergeCell ref="A133:F133"/>
    <mergeCell ref="A132:F132"/>
    <mergeCell ref="A131:F131"/>
    <mergeCell ref="A119:F119"/>
    <mergeCell ref="A130:F130"/>
    <mergeCell ref="A129:F129"/>
    <mergeCell ref="A128:F128"/>
    <mergeCell ref="A127:F127"/>
    <mergeCell ref="A126:F126"/>
    <mergeCell ref="A125:F125"/>
    <mergeCell ref="A117:F117"/>
    <mergeCell ref="A116:F116"/>
    <mergeCell ref="A115:F115"/>
    <mergeCell ref="A112:F112"/>
    <mergeCell ref="A111:F111"/>
    <mergeCell ref="A124:F124"/>
    <mergeCell ref="A123:F123"/>
    <mergeCell ref="A122:F122"/>
    <mergeCell ref="A121:F121"/>
    <mergeCell ref="A120:F120"/>
    <mergeCell ref="A110:F110"/>
    <mergeCell ref="A109:F109"/>
    <mergeCell ref="A108:F108"/>
    <mergeCell ref="A107:F107"/>
    <mergeCell ref="A106:F106"/>
    <mergeCell ref="A168:F168"/>
    <mergeCell ref="A167:F167"/>
    <mergeCell ref="A166:F166"/>
    <mergeCell ref="A165:F165"/>
    <mergeCell ref="A118:F118"/>
    <mergeCell ref="A164:F164"/>
    <mergeCell ref="A163:F163"/>
    <mergeCell ref="A162:F162"/>
    <mergeCell ref="A161:F161"/>
    <mergeCell ref="A160:F160"/>
    <mergeCell ref="A159:F159"/>
    <mergeCell ref="A158:F158"/>
    <mergeCell ref="A157:F157"/>
    <mergeCell ref="A156:F156"/>
    <mergeCell ref="A155:F155"/>
    <mergeCell ref="A154:F154"/>
    <mergeCell ref="A153:F153"/>
    <mergeCell ref="A152:F152"/>
    <mergeCell ref="A151:F151"/>
    <mergeCell ref="A150:F150"/>
    <mergeCell ref="A149:F149"/>
    <mergeCell ref="A148:F148"/>
    <mergeCell ref="A147:F147"/>
    <mergeCell ref="A146:F146"/>
    <mergeCell ref="A145:F145"/>
    <mergeCell ref="A144:F144"/>
    <mergeCell ref="A143:F143"/>
    <mergeCell ref="A142:F142"/>
    <mergeCell ref="A184:F184"/>
    <mergeCell ref="A183:F183"/>
    <mergeCell ref="A182:F182"/>
    <mergeCell ref="A181:F181"/>
    <mergeCell ref="A180:F180"/>
    <mergeCell ref="A179:F179"/>
    <mergeCell ref="A178:F178"/>
    <mergeCell ref="A177:F177"/>
    <mergeCell ref="A176:F176"/>
    <mergeCell ref="A175:F175"/>
    <mergeCell ref="A174:F174"/>
    <mergeCell ref="A173:F173"/>
    <mergeCell ref="A172:F172"/>
    <mergeCell ref="A171:F171"/>
    <mergeCell ref="A170:F170"/>
    <mergeCell ref="A169:F169"/>
    <mergeCell ref="A206:F206"/>
    <mergeCell ref="A199:F199"/>
    <mergeCell ref="A198:F198"/>
    <mergeCell ref="A205:F205"/>
    <mergeCell ref="A204:F204"/>
    <mergeCell ref="A213:F213"/>
    <mergeCell ref="A203:F203"/>
    <mergeCell ref="A186:F186"/>
    <mergeCell ref="A197:F197"/>
    <mergeCell ref="A196:F196"/>
    <mergeCell ref="A195:F195"/>
    <mergeCell ref="A194:F194"/>
    <mergeCell ref="A193:F193"/>
    <mergeCell ref="A192:F192"/>
    <mergeCell ref="A191:F191"/>
    <mergeCell ref="A190:F190"/>
    <mergeCell ref="A189:F189"/>
    <mergeCell ref="A188:F188"/>
    <mergeCell ref="A187:F187"/>
    <mergeCell ref="A202:F202"/>
    <mergeCell ref="A201:F201"/>
    <mergeCell ref="A200:F200"/>
    <mergeCell ref="A185:F185"/>
    <mergeCell ref="A225:F225"/>
    <mergeCell ref="A224:F224"/>
    <mergeCell ref="A223:F223"/>
    <mergeCell ref="A222:F222"/>
    <mergeCell ref="A221:F221"/>
    <mergeCell ref="A220:F220"/>
    <mergeCell ref="A219:F219"/>
    <mergeCell ref="A211:F211"/>
    <mergeCell ref="A218:F218"/>
    <mergeCell ref="A210:F210"/>
    <mergeCell ref="A209:F209"/>
    <mergeCell ref="A208:F208"/>
    <mergeCell ref="A207:F207"/>
    <mergeCell ref="A226:F226"/>
    <mergeCell ref="A217:F217"/>
    <mergeCell ref="A216:F216"/>
    <mergeCell ref="A215:F215"/>
    <mergeCell ref="A214:F214"/>
    <mergeCell ref="A212:F212"/>
    <mergeCell ref="A257:F257"/>
    <mergeCell ref="A256:F256"/>
    <mergeCell ref="A255:F255"/>
    <mergeCell ref="A254:F254"/>
    <mergeCell ref="A253:F253"/>
    <mergeCell ref="A252:F252"/>
    <mergeCell ref="A251:F251"/>
    <mergeCell ref="A250:F250"/>
    <mergeCell ref="A249:F249"/>
    <mergeCell ref="A248:F248"/>
    <mergeCell ref="A247:F247"/>
    <mergeCell ref="A246:F246"/>
    <mergeCell ref="A245:F245"/>
    <mergeCell ref="A244:F244"/>
    <mergeCell ref="A243:F243"/>
    <mergeCell ref="A242:F242"/>
    <mergeCell ref="A241:F241"/>
    <mergeCell ref="A240:F240"/>
    <mergeCell ref="A239:F239"/>
    <mergeCell ref="A238:F238"/>
    <mergeCell ref="A237:F237"/>
    <mergeCell ref="A236:F236"/>
    <mergeCell ref="A235:F235"/>
    <mergeCell ref="A234:F234"/>
    <mergeCell ref="A233:F233"/>
    <mergeCell ref="A232:F232"/>
    <mergeCell ref="A231:F231"/>
    <mergeCell ref="A230:F230"/>
    <mergeCell ref="A229:F229"/>
    <mergeCell ref="A228:F228"/>
    <mergeCell ref="A227:F227"/>
    <mergeCell ref="A284:F284"/>
    <mergeCell ref="A283:F283"/>
    <mergeCell ref="A282:F282"/>
    <mergeCell ref="A281:F281"/>
    <mergeCell ref="A280:F280"/>
    <mergeCell ref="A279:F279"/>
    <mergeCell ref="A278:F278"/>
    <mergeCell ref="A277:F277"/>
    <mergeCell ref="A276:F276"/>
    <mergeCell ref="A275:F275"/>
    <mergeCell ref="A274:F274"/>
    <mergeCell ref="A273:F273"/>
    <mergeCell ref="A272:F272"/>
    <mergeCell ref="A271:F271"/>
    <mergeCell ref="A270:F270"/>
    <mergeCell ref="A269:F269"/>
    <mergeCell ref="A268:F268"/>
    <mergeCell ref="A267:F267"/>
    <mergeCell ref="A266:F266"/>
    <mergeCell ref="A265:F265"/>
    <mergeCell ref="A264:F264"/>
    <mergeCell ref="A263:F263"/>
    <mergeCell ref="A262:F262"/>
    <mergeCell ref="A261:F261"/>
    <mergeCell ref="A260:F260"/>
    <mergeCell ref="A259:F259"/>
    <mergeCell ref="A258:F258"/>
    <mergeCell ref="A285:F285"/>
    <mergeCell ref="A308:F308"/>
    <mergeCell ref="A307:F307"/>
    <mergeCell ref="A306:F306"/>
    <mergeCell ref="A305:F305"/>
    <mergeCell ref="A304:F304"/>
    <mergeCell ref="A303:F303"/>
    <mergeCell ref="A302:F302"/>
    <mergeCell ref="A301:F301"/>
    <mergeCell ref="A300:F300"/>
    <mergeCell ref="A299:F299"/>
    <mergeCell ref="A298:F298"/>
    <mergeCell ref="A297:F297"/>
    <mergeCell ref="A296:F296"/>
    <mergeCell ref="A295:F295"/>
    <mergeCell ref="A294:F294"/>
    <mergeCell ref="A293:F293"/>
    <mergeCell ref="A292:F292"/>
    <mergeCell ref="A291:F291"/>
    <mergeCell ref="A290:F290"/>
    <mergeCell ref="A289:F289"/>
    <mergeCell ref="A288:F288"/>
    <mergeCell ref="A287:F287"/>
    <mergeCell ref="A286:F286"/>
    <mergeCell ref="A319:F319"/>
    <mergeCell ref="A318:F318"/>
    <mergeCell ref="A317:F317"/>
    <mergeCell ref="A316:F316"/>
    <mergeCell ref="A315:F315"/>
    <mergeCell ref="A314:F314"/>
    <mergeCell ref="A313:F313"/>
    <mergeCell ref="A312:F312"/>
    <mergeCell ref="A311:F311"/>
    <mergeCell ref="A310:F310"/>
    <mergeCell ref="A309:F309"/>
    <mergeCell ref="A340:F340"/>
    <mergeCell ref="A339:F339"/>
    <mergeCell ref="A338:F338"/>
    <mergeCell ref="A337:F337"/>
    <mergeCell ref="A336:F336"/>
    <mergeCell ref="A335:F335"/>
    <mergeCell ref="A334:F334"/>
    <mergeCell ref="A333:F333"/>
    <mergeCell ref="A332:F332"/>
    <mergeCell ref="A331:F331"/>
    <mergeCell ref="A330:F330"/>
    <mergeCell ref="A329:F329"/>
    <mergeCell ref="A328:F328"/>
    <mergeCell ref="A327:F327"/>
    <mergeCell ref="A326:F326"/>
    <mergeCell ref="A325:F325"/>
    <mergeCell ref="A324:F324"/>
    <mergeCell ref="A323:F323"/>
    <mergeCell ref="A322:F322"/>
    <mergeCell ref="A321:F321"/>
    <mergeCell ref="A320:F320"/>
    <mergeCell ref="A362:F362"/>
    <mergeCell ref="A361:F361"/>
    <mergeCell ref="A360:F360"/>
    <mergeCell ref="A359:F359"/>
    <mergeCell ref="A358:F358"/>
    <mergeCell ref="A357:F357"/>
    <mergeCell ref="A356:F356"/>
    <mergeCell ref="A355:F355"/>
    <mergeCell ref="A354:F354"/>
    <mergeCell ref="A353:F353"/>
    <mergeCell ref="A352:F352"/>
    <mergeCell ref="A351:F351"/>
    <mergeCell ref="A350:F350"/>
    <mergeCell ref="A349:F349"/>
    <mergeCell ref="A348:F348"/>
    <mergeCell ref="A347:F347"/>
    <mergeCell ref="A346:F346"/>
    <mergeCell ref="A345:F345"/>
    <mergeCell ref="A344:F344"/>
    <mergeCell ref="A343:F343"/>
    <mergeCell ref="A342:F342"/>
    <mergeCell ref="A341:F341"/>
    <mergeCell ref="A392:F392"/>
    <mergeCell ref="A391:F391"/>
    <mergeCell ref="A390:F390"/>
    <mergeCell ref="A389:F389"/>
    <mergeCell ref="A388:F388"/>
    <mergeCell ref="A387:F387"/>
    <mergeCell ref="A386:F386"/>
    <mergeCell ref="A385:F385"/>
    <mergeCell ref="A384:F384"/>
    <mergeCell ref="A383:F383"/>
    <mergeCell ref="A382:F382"/>
    <mergeCell ref="A381:F381"/>
    <mergeCell ref="A380:F380"/>
    <mergeCell ref="A379:F379"/>
    <mergeCell ref="A378:F378"/>
    <mergeCell ref="A377:F377"/>
    <mergeCell ref="A376:F376"/>
    <mergeCell ref="A375:F375"/>
    <mergeCell ref="A374:F374"/>
    <mergeCell ref="A373:F373"/>
    <mergeCell ref="A366:F366"/>
    <mergeCell ref="A365:F365"/>
    <mergeCell ref="A364:F364"/>
    <mergeCell ref="A363:F363"/>
    <mergeCell ref="A372:F372"/>
    <mergeCell ref="A371:F371"/>
    <mergeCell ref="A370:F370"/>
    <mergeCell ref="A369:F369"/>
    <mergeCell ref="A368:F368"/>
    <mergeCell ref="A367:F36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Стас</dc:creator>
  <cp:keywords/>
  <dc:description/>
  <cp:lastModifiedBy>user</cp:lastModifiedBy>
  <cp:lastPrinted>2024-04-02T07:43:55Z</cp:lastPrinted>
  <dcterms:created xsi:type="dcterms:W3CDTF">2012-12-05T05:07:53Z</dcterms:created>
  <dcterms:modified xsi:type="dcterms:W3CDTF">2024-04-02T07:44:26Z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